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C:\Users\Stilerman\Desktop\"/>
    </mc:Choice>
  </mc:AlternateContent>
  <xr:revisionPtr revIDLastSave="0" documentId="13_ncr:1_{25DFAAFA-C6BB-4DA6-894F-347237776B4E}" xr6:coauthVersionLast="47" xr6:coauthVersionMax="47" xr10:uidLastSave="{00000000-0000-0000-0000-000000000000}"/>
  <bookViews>
    <workbookView xWindow="4100" yWindow="1060" windowWidth="15100" windowHeight="9140" tabRatio="745" xr2:uid="{00000000-000D-0000-FFFF-FFFF00000000}"/>
  </bookViews>
  <sheets>
    <sheet name="Sheet1" sheetId="1" r:id="rId1"/>
    <sheet name="Ner Gavriel" sheetId="2" r:id="rId2"/>
    <sheet name="Ezras" sheetId="4" r:id="rId3"/>
    <sheet name="פרינט אוה" sheetId="7" r:id="rId4"/>
    <sheet name="printing" sheetId="6" r:id="rId5"/>
    <sheet name="Techayeinu" sheetId="8" r:id="rId6"/>
    <sheet name="בעל פה" sheetId="9" r:id="rId7"/>
    <sheet name="נדה" sheetId="10" r:id="rId8"/>
    <sheet name="print" sheetId="3" r:id="rId9"/>
  </sheets>
  <definedNames>
    <definedName name="_Hlk534479134" localSheetId="0">Sheet1!#REF!</definedName>
    <definedName name="_Hlk84251880" localSheetId="0">Sheet1!#REF!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R716" i="4" l="1"/>
  <c r="R712" i="4" l="1"/>
  <c r="E182" i="3"/>
  <c r="R710" i="4"/>
  <c r="E185" i="3"/>
  <c r="E181" i="3" l="1"/>
  <c r="E180" i="3"/>
  <c r="R706" i="4" l="1"/>
  <c r="R705" i="4"/>
  <c r="R703" i="4"/>
  <c r="R701" i="4"/>
  <c r="R698" i="4"/>
  <c r="G12" i="10" l="1"/>
  <c r="E179" i="3"/>
  <c r="G18" i="10"/>
  <c r="G20" i="10" l="1"/>
  <c r="B178" i="3" l="1"/>
  <c r="E178" i="3" s="1"/>
  <c r="B177" i="3"/>
  <c r="E177" i="3" s="1"/>
  <c r="E176" i="3"/>
  <c r="B29" i="4"/>
  <c r="C29" i="4"/>
  <c r="E175" i="3" l="1"/>
  <c r="E174" i="3"/>
  <c r="C132" i="4"/>
  <c r="C206" i="4"/>
  <c r="C28" i="4" l="1"/>
  <c r="C40" i="4"/>
  <c r="C110" i="4"/>
  <c r="E173" i="3" l="1"/>
  <c r="C174" i="4"/>
  <c r="C165" i="4"/>
  <c r="J28" i="9"/>
  <c r="J29" i="9"/>
  <c r="E172" i="3" l="1"/>
  <c r="E171" i="3"/>
  <c r="C205" i="4"/>
  <c r="G214" i="4" s="1"/>
  <c r="E170" i="3" l="1"/>
  <c r="E169" i="3"/>
  <c r="E168" i="3"/>
  <c r="J27" i="9" l="1"/>
  <c r="E166" i="3" l="1"/>
  <c r="E165" i="3"/>
  <c r="R432" i="4"/>
  <c r="E164" i="3"/>
  <c r="C90" i="4"/>
  <c r="P214" i="4" s="1"/>
  <c r="E163" i="3"/>
  <c r="E162" i="3"/>
  <c r="E160" i="3" l="1"/>
  <c r="E161" i="3"/>
  <c r="R429" i="4" l="1"/>
  <c r="E159" i="3"/>
  <c r="G16" i="7"/>
  <c r="R425" i="4"/>
  <c r="G17" i="7"/>
  <c r="B1" i="10"/>
  <c r="C158" i="3"/>
  <c r="E158" i="3" s="1"/>
  <c r="E157" i="3"/>
  <c r="R422" i="4"/>
  <c r="H214" i="4" l="1"/>
  <c r="B20" i="10"/>
  <c r="E21" i="10" s="1"/>
  <c r="R418" i="4" l="1"/>
  <c r="E156" i="3" l="1"/>
  <c r="B154" i="3" l="1"/>
  <c r="E154" i="3" s="1"/>
  <c r="E153" i="3"/>
  <c r="E151" i="3"/>
  <c r="R415" i="4" l="1"/>
  <c r="R412" i="4" l="1"/>
  <c r="C219" i="4"/>
  <c r="D241" i="4"/>
  <c r="D242" i="4" s="1"/>
  <c r="E150" i="3" l="1"/>
  <c r="E149" i="3"/>
  <c r="E146" i="3" l="1"/>
  <c r="L11" i="6"/>
  <c r="E147" i="3"/>
  <c r="E145" i="3"/>
  <c r="E144" i="3"/>
  <c r="E143" i="3"/>
  <c r="E142" i="3" l="1"/>
  <c r="R409" i="4"/>
  <c r="R406" i="4"/>
  <c r="E141" i="3"/>
  <c r="E140" i="3"/>
  <c r="E139" i="3"/>
  <c r="C138" i="3"/>
  <c r="E138" i="3" s="1"/>
  <c r="F326" i="4" l="1"/>
  <c r="E325" i="4" l="1"/>
  <c r="E324" i="4"/>
  <c r="E323" i="4"/>
  <c r="E322" i="4"/>
  <c r="E321" i="4"/>
  <c r="E320" i="4"/>
  <c r="E319" i="4"/>
  <c r="E318" i="4"/>
  <c r="E317" i="4"/>
  <c r="E316" i="4"/>
  <c r="E328" i="4" l="1"/>
  <c r="F327" i="4" s="1"/>
  <c r="F328" i="4" s="1"/>
  <c r="D22" i="4"/>
  <c r="E136" i="3" l="1"/>
  <c r="E266" i="4" l="1"/>
  <c r="E267" i="4" s="1"/>
  <c r="D267" i="4" s="1"/>
  <c r="E135" i="3" l="1"/>
  <c r="B134" i="3" l="1"/>
  <c r="E134" i="3" s="1"/>
  <c r="R398" i="4" l="1"/>
  <c r="H60" i="8" l="1"/>
  <c r="H59" i="8" l="1"/>
  <c r="R393" i="4" l="1"/>
  <c r="C132" i="3" l="1"/>
  <c r="E132" i="3" l="1"/>
  <c r="C131" i="3" l="1"/>
  <c r="E131" i="3" s="1"/>
  <c r="N231" i="4" l="1"/>
  <c r="E130" i="3" l="1"/>
  <c r="E129" i="3" l="1"/>
  <c r="G10" i="7" l="1"/>
  <c r="G19" i="7" s="1"/>
  <c r="G265" i="4" l="1"/>
  <c r="E128" i="3" l="1"/>
  <c r="E127" i="3" l="1"/>
  <c r="N222" i="4" l="1"/>
  <c r="R371" i="4" l="1"/>
  <c r="H233" i="4" l="1"/>
  <c r="H217" i="4"/>
  <c r="H231" i="4"/>
  <c r="D90" i="4" l="1"/>
  <c r="H218" i="4" l="1"/>
  <c r="H232" i="4"/>
  <c r="H222" i="4"/>
  <c r="R653" i="4" l="1"/>
  <c r="D41" i="4" l="1"/>
  <c r="D17" i="4" l="1"/>
  <c r="H228" i="4" l="1"/>
  <c r="J222" i="4" l="1"/>
  <c r="Q215" i="4" l="1"/>
  <c r="Q214" i="4" s="1"/>
  <c r="R215" i="4"/>
  <c r="G241" i="4" l="1"/>
  <c r="H221" i="4" l="1"/>
  <c r="F241" i="4"/>
  <c r="H226" i="4"/>
  <c r="H219" i="4"/>
  <c r="H235" i="4"/>
  <c r="F242" i="4" l="1"/>
  <c r="I214" i="4" l="1"/>
  <c r="E125" i="3" l="1"/>
  <c r="E124" i="3" l="1"/>
  <c r="E123" i="3" l="1"/>
  <c r="K214" i="4" l="1"/>
  <c r="E122" i="3" l="1"/>
  <c r="E121" i="3"/>
  <c r="E120" i="3" l="1"/>
  <c r="E119" i="3"/>
  <c r="E118" i="3" l="1"/>
  <c r="F22" i="4" l="1"/>
  <c r="E117" i="3" l="1"/>
  <c r="R341" i="4" l="1"/>
  <c r="E115" i="3" l="1"/>
  <c r="C113" i="3"/>
  <c r="E113" i="3" s="1"/>
  <c r="F160" i="4" l="1"/>
  <c r="G267" i="4" l="1"/>
  <c r="B33" i="7" l="1"/>
  <c r="B45" i="7"/>
  <c r="B44" i="7"/>
  <c r="E38" i="7" l="1"/>
  <c r="E40" i="7" l="1"/>
  <c r="E39" i="7"/>
  <c r="E37" i="7"/>
  <c r="F27" i="7" l="1"/>
  <c r="F54" i="7" s="1"/>
  <c r="B36" i="7"/>
  <c r="B54" i="7" s="1"/>
  <c r="D57" i="7" s="1"/>
  <c r="E114" i="3" l="1"/>
  <c r="E112" i="3" l="1"/>
  <c r="F93" i="4" l="1"/>
  <c r="E111" i="3" l="1"/>
  <c r="E110" i="3" l="1"/>
  <c r="E108" i="3" l="1"/>
  <c r="E107" i="3"/>
  <c r="E103" i="3" l="1"/>
  <c r="E104" i="3" l="1"/>
  <c r="N228" i="4" l="1"/>
  <c r="N241" i="4" s="1"/>
  <c r="F132" i="4" l="1"/>
  <c r="F90" i="4" l="1"/>
  <c r="F152" i="4"/>
  <c r="I265" i="4" l="1"/>
  <c r="F78" i="4" l="1"/>
  <c r="F144" i="4" l="1"/>
  <c r="J217" i="4" l="1"/>
  <c r="E100" i="3" l="1"/>
  <c r="E99" i="3"/>
  <c r="E98" i="3" l="1"/>
  <c r="E97" i="3" l="1"/>
  <c r="R598" i="4" l="1"/>
  <c r="F74" i="4" l="1"/>
  <c r="E96" i="3" l="1"/>
  <c r="E95" i="3"/>
  <c r="F69" i="4" l="1"/>
  <c r="F70" i="4"/>
  <c r="E94" i="3" l="1"/>
  <c r="E93" i="3"/>
  <c r="E92" i="3" l="1"/>
  <c r="E91" i="3"/>
  <c r="F85" i="4" l="1"/>
  <c r="E90" i="3" l="1"/>
  <c r="E89" i="3" l="1"/>
  <c r="F94" i="4" l="1"/>
  <c r="E88" i="3" l="1"/>
  <c r="D156" i="8" l="1"/>
  <c r="D154" i="8"/>
  <c r="D155" i="8"/>
  <c r="D308" i="8" l="1"/>
  <c r="J223" i="4"/>
  <c r="T222" i="4" l="1"/>
  <c r="J221" i="4" l="1"/>
  <c r="F67" i="4" l="1"/>
  <c r="G3" i="3" l="1"/>
  <c r="J220" i="4" l="1"/>
  <c r="F66" i="4" l="1"/>
  <c r="H10" i="8" l="1"/>
  <c r="H20" i="8" l="1"/>
  <c r="H22" i="8"/>
  <c r="H23" i="8"/>
  <c r="H308" i="8" l="1"/>
  <c r="G310" i="8" s="1"/>
  <c r="L241" i="4"/>
  <c r="R315" i="4" l="1"/>
  <c r="E87" i="3" l="1"/>
  <c r="F172" i="4" l="1"/>
  <c r="G149" i="4" l="1"/>
  <c r="F103" i="4" l="1"/>
  <c r="G21" i="4" l="1"/>
  <c r="R559" i="4" l="1"/>
  <c r="R548" i="4" l="1"/>
  <c r="F47" i="4" l="1"/>
  <c r="F159" i="4" l="1"/>
  <c r="F34" i="4" l="1"/>
  <c r="C1" i="6" l="1"/>
  <c r="C9" i="6" s="1"/>
  <c r="G207" i="4" l="1"/>
  <c r="K241" i="4" l="1"/>
  <c r="L242" i="4" s="1"/>
  <c r="H22" i="4" l="1"/>
  <c r="L91" i="3" l="1"/>
  <c r="L90" i="3"/>
  <c r="L89" i="3"/>
  <c r="S88" i="3"/>
  <c r="L88" i="3"/>
  <c r="S87" i="3"/>
  <c r="L87" i="3"/>
  <c r="S86" i="3"/>
  <c r="L86" i="3"/>
  <c r="E86" i="3"/>
  <c r="S85" i="3"/>
  <c r="L85" i="3"/>
  <c r="E85" i="3"/>
  <c r="S84" i="3"/>
  <c r="L84" i="3"/>
  <c r="E84" i="3"/>
  <c r="S83" i="3"/>
  <c r="L83" i="3"/>
  <c r="S82" i="3"/>
  <c r="L82" i="3"/>
  <c r="E82" i="3"/>
  <c r="S81" i="3"/>
  <c r="L81" i="3"/>
  <c r="E81" i="3"/>
  <c r="S80" i="3"/>
  <c r="L80" i="3"/>
  <c r="E80" i="3"/>
  <c r="S79" i="3"/>
  <c r="L79" i="3"/>
  <c r="E79" i="3"/>
  <c r="S78" i="3"/>
  <c r="L78" i="3"/>
  <c r="E78" i="3"/>
  <c r="S77" i="3"/>
  <c r="L77" i="3"/>
  <c r="E77" i="3"/>
  <c r="S76" i="3"/>
  <c r="L76" i="3"/>
  <c r="E76" i="3"/>
  <c r="L75" i="3"/>
  <c r="E75" i="3"/>
  <c r="S74" i="3"/>
  <c r="L74" i="3"/>
  <c r="E74" i="3"/>
  <c r="S73" i="3"/>
  <c r="L73" i="3"/>
  <c r="E73" i="3"/>
  <c r="S72" i="3"/>
  <c r="L72" i="3"/>
  <c r="E72" i="3"/>
  <c r="S71" i="3"/>
  <c r="L71" i="3"/>
  <c r="E71" i="3"/>
  <c r="S70" i="3"/>
  <c r="L70" i="3"/>
  <c r="E70" i="3"/>
  <c r="S69" i="3"/>
  <c r="L69" i="3"/>
  <c r="E69" i="3"/>
  <c r="Z68" i="3"/>
  <c r="S68" i="3"/>
  <c r="L68" i="3"/>
  <c r="E68" i="3"/>
  <c r="Z67" i="3"/>
  <c r="S67" i="3"/>
  <c r="L67" i="3"/>
  <c r="E67" i="3"/>
  <c r="Z66" i="3"/>
  <c r="S66" i="3"/>
  <c r="L66" i="3"/>
  <c r="E66" i="3"/>
  <c r="Z65" i="3"/>
  <c r="S65" i="3"/>
  <c r="L65" i="3"/>
  <c r="E65" i="3"/>
  <c r="Z64" i="3"/>
  <c r="S64" i="3"/>
  <c r="L64" i="3"/>
  <c r="E64" i="3"/>
  <c r="Z63" i="3"/>
  <c r="S63" i="3"/>
  <c r="L63" i="3"/>
  <c r="E63" i="3"/>
  <c r="Z62" i="3"/>
  <c r="S62" i="3"/>
  <c r="L62" i="3"/>
  <c r="E62" i="3"/>
  <c r="Z61" i="3"/>
  <c r="S61" i="3"/>
  <c r="L61" i="3"/>
  <c r="E61" i="3"/>
  <c r="Z60" i="3"/>
  <c r="S60" i="3"/>
  <c r="L60" i="3"/>
  <c r="E60" i="3"/>
  <c r="Z59" i="3"/>
  <c r="S59" i="3"/>
  <c r="L59" i="3"/>
  <c r="E59" i="3"/>
  <c r="Z58" i="3"/>
  <c r="S58" i="3"/>
  <c r="L58" i="3"/>
  <c r="E58" i="3"/>
  <c r="Z57" i="3"/>
  <c r="S57" i="3"/>
  <c r="L57" i="3"/>
  <c r="E57" i="3"/>
  <c r="Z56" i="3"/>
  <c r="S56" i="3"/>
  <c r="L56" i="3"/>
  <c r="E56" i="3"/>
  <c r="Z55" i="3"/>
  <c r="S55" i="3"/>
  <c r="L55" i="3"/>
  <c r="E55" i="3"/>
  <c r="Z54" i="3"/>
  <c r="S54" i="3"/>
  <c r="L54" i="3"/>
  <c r="E54" i="3"/>
  <c r="Z53" i="3"/>
  <c r="S53" i="3"/>
  <c r="L53" i="3"/>
  <c r="E53" i="3"/>
  <c r="Z52" i="3"/>
  <c r="S52" i="3"/>
  <c r="L52" i="3"/>
  <c r="E52" i="3"/>
  <c r="Z51" i="3"/>
  <c r="S51" i="3"/>
  <c r="L51" i="3"/>
  <c r="E51" i="3"/>
  <c r="Z50" i="3"/>
  <c r="S50" i="3"/>
  <c r="L50" i="3"/>
  <c r="E50" i="3"/>
  <c r="Z49" i="3"/>
  <c r="S49" i="3"/>
  <c r="L49" i="3"/>
  <c r="E49" i="3"/>
  <c r="Z48" i="3"/>
  <c r="S48" i="3"/>
  <c r="L48" i="3"/>
  <c r="E48" i="3"/>
  <c r="Z47" i="3"/>
  <c r="S47" i="3"/>
  <c r="L47" i="3"/>
  <c r="E47" i="3"/>
  <c r="Z46" i="3"/>
  <c r="S46" i="3"/>
  <c r="L46" i="3"/>
  <c r="E46" i="3"/>
  <c r="Z45" i="3"/>
  <c r="S45" i="3"/>
  <c r="L45" i="3"/>
  <c r="E45" i="3"/>
  <c r="Z44" i="3"/>
  <c r="S44" i="3"/>
  <c r="L44" i="3"/>
  <c r="E44" i="3"/>
  <c r="Z43" i="3"/>
  <c r="S43" i="3"/>
  <c r="L43" i="3"/>
  <c r="E43" i="3"/>
  <c r="Z42" i="3"/>
  <c r="S42" i="3"/>
  <c r="L42" i="3"/>
  <c r="E42" i="3"/>
  <c r="Z41" i="3"/>
  <c r="S41" i="3"/>
  <c r="L41" i="3"/>
  <c r="E41" i="3"/>
  <c r="Z40" i="3"/>
  <c r="S40" i="3"/>
  <c r="L40" i="3"/>
  <c r="E40" i="3"/>
  <c r="Z39" i="3"/>
  <c r="S39" i="3"/>
  <c r="L39" i="3"/>
  <c r="E39" i="3"/>
  <c r="C2" i="7" s="1"/>
  <c r="Z38" i="3"/>
  <c r="S38" i="3"/>
  <c r="L38" i="3"/>
  <c r="E38" i="3"/>
  <c r="Z37" i="3"/>
  <c r="S37" i="3"/>
  <c r="L37" i="3"/>
  <c r="E37" i="3"/>
  <c r="Z36" i="3"/>
  <c r="S36" i="3"/>
  <c r="L36" i="3"/>
  <c r="E36" i="3"/>
  <c r="C1" i="7" s="1"/>
  <c r="C19" i="7" s="1"/>
  <c r="E20" i="7" s="1"/>
  <c r="Z35" i="3"/>
  <c r="S35" i="3"/>
  <c r="L35" i="3"/>
  <c r="E35" i="3"/>
  <c r="Z34" i="3"/>
  <c r="S34" i="3"/>
  <c r="L34" i="3"/>
  <c r="E34" i="3"/>
  <c r="Z33" i="3"/>
  <c r="S33" i="3"/>
  <c r="L33" i="3"/>
  <c r="E33" i="3"/>
  <c r="Z32" i="3"/>
  <c r="S32" i="3"/>
  <c r="L32" i="3"/>
  <c r="E32" i="3"/>
  <c r="Z31" i="3"/>
  <c r="S31" i="3"/>
  <c r="L31" i="3"/>
  <c r="E31" i="3"/>
  <c r="Z30" i="3"/>
  <c r="S30" i="3"/>
  <c r="L30" i="3"/>
  <c r="E30" i="3"/>
  <c r="Z29" i="3"/>
  <c r="S29" i="3"/>
  <c r="L29" i="3"/>
  <c r="E29" i="3"/>
  <c r="Z28" i="3"/>
  <c r="S28" i="3"/>
  <c r="L28" i="3"/>
  <c r="E28" i="3"/>
  <c r="Z27" i="3"/>
  <c r="S27" i="3"/>
  <c r="L27" i="3"/>
  <c r="E27" i="3"/>
  <c r="Z26" i="3"/>
  <c r="S26" i="3"/>
  <c r="L26" i="3"/>
  <c r="E26" i="3"/>
  <c r="Z25" i="3"/>
  <c r="S25" i="3"/>
  <c r="L25" i="3"/>
  <c r="E25" i="3"/>
  <c r="Z24" i="3"/>
  <c r="S24" i="3"/>
  <c r="L24" i="3"/>
  <c r="E24" i="3"/>
  <c r="Z23" i="3"/>
  <c r="S23" i="3"/>
  <c r="L23" i="3"/>
  <c r="E23" i="3"/>
  <c r="Z22" i="3"/>
  <c r="S22" i="3"/>
  <c r="L22" i="3"/>
  <c r="E22" i="3"/>
  <c r="AD21" i="3"/>
  <c r="Z21" i="3"/>
  <c r="S21" i="3"/>
  <c r="L21" i="3"/>
  <c r="E21" i="3"/>
  <c r="Z20" i="3"/>
  <c r="S20" i="3"/>
  <c r="L20" i="3"/>
  <c r="E20" i="3"/>
  <c r="Z19" i="3"/>
  <c r="S19" i="3"/>
  <c r="L19" i="3"/>
  <c r="E19" i="3"/>
  <c r="Z18" i="3"/>
  <c r="S18" i="3"/>
  <c r="L18" i="3"/>
  <c r="E18" i="3"/>
  <c r="Z17" i="3"/>
  <c r="S17" i="3"/>
  <c r="L17" i="3"/>
  <c r="E17" i="3"/>
  <c r="Z16" i="3"/>
  <c r="S16" i="3"/>
  <c r="L16" i="3"/>
  <c r="E16" i="3"/>
  <c r="Z15" i="3"/>
  <c r="S15" i="3"/>
  <c r="L15" i="3"/>
  <c r="E15" i="3"/>
  <c r="Z14" i="3"/>
  <c r="S14" i="3"/>
  <c r="L14" i="3"/>
  <c r="E14" i="3"/>
  <c r="Z13" i="3"/>
  <c r="S13" i="3"/>
  <c r="L13" i="3"/>
  <c r="E13" i="3"/>
  <c r="Z12" i="3"/>
  <c r="S12" i="3"/>
  <c r="L12" i="3"/>
  <c r="E12" i="3"/>
  <c r="Z11" i="3"/>
  <c r="S11" i="3"/>
  <c r="L11" i="3"/>
  <c r="E11" i="3"/>
  <c r="Z10" i="3"/>
  <c r="S10" i="3"/>
  <c r="L10" i="3"/>
  <c r="E10" i="3"/>
  <c r="Z9" i="3"/>
  <c r="S9" i="3"/>
  <c r="L9" i="3"/>
  <c r="E9" i="3"/>
  <c r="Z8" i="3"/>
  <c r="S8" i="3"/>
  <c r="L8" i="3"/>
  <c r="E8" i="3"/>
  <c r="Z7" i="3"/>
  <c r="S7" i="3"/>
  <c r="L7" i="3"/>
  <c r="E7" i="3"/>
  <c r="Z6" i="3"/>
  <c r="S6" i="3"/>
  <c r="L6" i="3"/>
  <c r="E6" i="3"/>
  <c r="Z5" i="3"/>
  <c r="S5" i="3"/>
  <c r="L5" i="3"/>
  <c r="E5" i="3"/>
  <c r="Z4" i="3"/>
  <c r="S4" i="3"/>
  <c r="L4" i="3"/>
  <c r="E4" i="3"/>
  <c r="AD3" i="3"/>
  <c r="Z3" i="3"/>
  <c r="U3" i="3"/>
  <c r="S3" i="3"/>
  <c r="L3" i="3"/>
  <c r="C3" i="3"/>
  <c r="E3" i="3" s="1"/>
  <c r="M45" i="6"/>
  <c r="C21" i="6" s="1"/>
  <c r="C22" i="6" s="1"/>
  <c r="J31" i="6"/>
  <c r="J30" i="6"/>
  <c r="G22" i="6"/>
  <c r="R507" i="4"/>
  <c r="R718" i="4" s="1"/>
  <c r="R292" i="4"/>
  <c r="J292" i="4"/>
  <c r="E274" i="4"/>
  <c r="E276" i="4" s="1"/>
  <c r="O253" i="4"/>
  <c r="O254" i="4" s="1"/>
  <c r="R263" i="4"/>
  <c r="R470" i="4" s="1"/>
  <c r="L261" i="4"/>
  <c r="L260" i="4"/>
  <c r="L259" i="4"/>
  <c r="L258" i="4"/>
  <c r="L257" i="4"/>
  <c r="L253" i="4"/>
  <c r="E249" i="4"/>
  <c r="K248" i="4"/>
  <c r="I248" i="4"/>
  <c r="E248" i="4"/>
  <c r="I247" i="4"/>
  <c r="AH241" i="4"/>
  <c r="AC241" i="4"/>
  <c r="AB241" i="4"/>
  <c r="Y241" i="4"/>
  <c r="X241" i="4"/>
  <c r="R241" i="4"/>
  <c r="S242" i="4" s="1"/>
  <c r="Q241" i="4"/>
  <c r="U238" i="4"/>
  <c r="V237" i="4"/>
  <c r="U235" i="4"/>
  <c r="N235" i="4"/>
  <c r="M235" i="4"/>
  <c r="V234" i="4"/>
  <c r="V232" i="4"/>
  <c r="S232" i="4"/>
  <c r="J232" i="4"/>
  <c r="M232" i="4" s="1"/>
  <c r="U231" i="4"/>
  <c r="V231" i="4" s="1"/>
  <c r="J231" i="4"/>
  <c r="M231" i="4" s="1"/>
  <c r="U230" i="4"/>
  <c r="S230" i="4"/>
  <c r="J230" i="4"/>
  <c r="V229" i="4"/>
  <c r="S229" i="4"/>
  <c r="J229" i="4"/>
  <c r="J226" i="4"/>
  <c r="M226" i="4" s="1"/>
  <c r="S225" i="4"/>
  <c r="J225" i="4"/>
  <c r="S223" i="4"/>
  <c r="M223" i="4"/>
  <c r="AI222" i="4"/>
  <c r="AI241" i="4" s="1"/>
  <c r="AF222" i="4"/>
  <c r="AF241" i="4" s="1"/>
  <c r="AE222" i="4"/>
  <c r="AA222" i="4"/>
  <c r="AA241" i="4" s="1"/>
  <c r="U222" i="4"/>
  <c r="M222" i="4"/>
  <c r="M221" i="4"/>
  <c r="AE219" i="4"/>
  <c r="W219" i="4"/>
  <c r="W241" i="4" s="1"/>
  <c r="I219" i="4"/>
  <c r="I242" i="4" s="1"/>
  <c r="AE218" i="4"/>
  <c r="AG218" i="4" s="1"/>
  <c r="Z218" i="4"/>
  <c r="Z241" i="4" s="1"/>
  <c r="S218" i="4"/>
  <c r="AE217" i="4"/>
  <c r="AG217" i="4" s="1"/>
  <c r="V217" i="4"/>
  <c r="S217" i="4"/>
  <c r="M217" i="4"/>
  <c r="V215" i="4"/>
  <c r="K215" i="4"/>
  <c r="L214" i="4" s="1"/>
  <c r="I215" i="4"/>
  <c r="J214" i="4" s="1"/>
  <c r="J239" i="4" s="1"/>
  <c r="M239" i="4" s="1"/>
  <c r="K208" i="4"/>
  <c r="J208" i="4"/>
  <c r="I208" i="4"/>
  <c r="H208" i="4"/>
  <c r="G208" i="4"/>
  <c r="F208" i="4"/>
  <c r="J205" i="4"/>
  <c r="M214" i="4" s="1"/>
  <c r="S201" i="4"/>
  <c r="K175" i="4"/>
  <c r="M215" i="4" s="1"/>
  <c r="J170" i="4"/>
  <c r="H154" i="4"/>
  <c r="H152" i="4"/>
  <c r="H148" i="4"/>
  <c r="H147" i="4"/>
  <c r="J142" i="4"/>
  <c r="H142" i="4"/>
  <c r="F134" i="4"/>
  <c r="R214" i="4" s="1"/>
  <c r="S214" i="4" s="1"/>
  <c r="I131" i="4"/>
  <c r="T215" i="4" s="1"/>
  <c r="AE227" i="4" s="1"/>
  <c r="AG227" i="4" s="1"/>
  <c r="H131" i="4"/>
  <c r="H110" i="4"/>
  <c r="H93" i="4"/>
  <c r="J91" i="4"/>
  <c r="H91" i="4"/>
  <c r="J90" i="4"/>
  <c r="I90" i="4"/>
  <c r="H66" i="4"/>
  <c r="V236" i="4" s="1"/>
  <c r="I65" i="4"/>
  <c r="H64" i="4"/>
  <c r="J57" i="4"/>
  <c r="I56" i="4"/>
  <c r="J44" i="4"/>
  <c r="J37" i="4"/>
  <c r="H34" i="4"/>
  <c r="H10" i="4"/>
  <c r="H6" i="4"/>
  <c r="AB42" i="3" l="1"/>
  <c r="E186" i="3"/>
  <c r="H239" i="4"/>
  <c r="H241" i="4" s="1"/>
  <c r="F266" i="4"/>
  <c r="R720" i="4"/>
  <c r="K247" i="4"/>
  <c r="M247" i="4" s="1"/>
  <c r="L254" i="4" s="1"/>
  <c r="AE224" i="4"/>
  <c r="AG224" i="4" s="1"/>
  <c r="Z72" i="3"/>
  <c r="J32" i="6"/>
  <c r="J36" i="6" s="1"/>
  <c r="S241" i="4"/>
  <c r="L262" i="4"/>
  <c r="Z73" i="3"/>
  <c r="AB74" i="3" s="1"/>
  <c r="L263" i="4"/>
  <c r="S92" i="3"/>
  <c r="L92" i="3" s="1"/>
  <c r="L93" i="3"/>
  <c r="K207" i="4"/>
  <c r="S94" i="3"/>
  <c r="N3" i="3" s="1"/>
  <c r="L94" i="3" s="1"/>
  <c r="E187" i="3" s="1"/>
  <c r="AD17" i="3"/>
  <c r="V241" i="4"/>
  <c r="S93" i="3"/>
  <c r="I207" i="4"/>
  <c r="Z71" i="3"/>
  <c r="J207" i="4"/>
  <c r="V214" i="4"/>
  <c r="W214" i="4" s="1"/>
  <c r="U241" i="4"/>
  <c r="AG222" i="4"/>
  <c r="J294" i="4"/>
  <c r="N214" i="4"/>
  <c r="J219" i="4"/>
  <c r="M219" i="4" s="1"/>
  <c r="AG219" i="4"/>
  <c r="H172" i="4"/>
  <c r="T214" i="4" s="1"/>
  <c r="F207" i="4"/>
  <c r="U214" i="4" l="1"/>
  <c r="AE241" i="4"/>
  <c r="J34" i="6"/>
  <c r="L266" i="4"/>
  <c r="H207" i="4"/>
  <c r="AD242" i="4"/>
  <c r="T242" i="4" l="1"/>
  <c r="K242" i="4" s="1"/>
  <c r="E242" i="4" s="1"/>
  <c r="R242"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Klal Yisrael</author>
    <author>Stilerman</author>
    <author>stilerman</author>
    <author>tc={C0A4B733-B5FC-419E-AED3-02FECD2F2956}</author>
  </authors>
  <commentList>
    <comment ref="H2" authorId="0" shapeId="0" xr:uid="{00000000-0006-0000-0300-000001000000}">
      <text>
        <r>
          <rPr>
            <b/>
            <sz val="9"/>
            <color indexed="81"/>
            <rFont val="Tahoma"/>
            <family val="2"/>
          </rPr>
          <t>Klal Yisrael:</t>
        </r>
        <r>
          <rPr>
            <sz val="9"/>
            <color indexed="81"/>
            <rFont val="Tahoma"/>
            <family val="2"/>
          </rPr>
          <t xml:space="preserve">
For Ita חתונה</t>
        </r>
      </text>
    </comment>
    <comment ref="F3" authorId="0" shapeId="0" xr:uid="{90EE3E8A-1E4A-4FD4-AECC-9FEDEEE50433}">
      <text>
        <r>
          <rPr>
            <b/>
            <sz val="9"/>
            <color indexed="81"/>
            <rFont val="Tahoma"/>
            <family val="2"/>
          </rPr>
          <t>Klal Yisrael:</t>
        </r>
        <r>
          <rPr>
            <sz val="9"/>
            <color indexed="81"/>
            <rFont val="Tahoma"/>
            <family val="2"/>
          </rPr>
          <t xml:space="preserve">
For Meir חתונה</t>
        </r>
      </text>
    </comment>
    <comment ref="F5" authorId="0" shapeId="0" xr:uid="{8BD98296-ACFF-4D1E-8C69-F7F20C25A191}">
      <text>
        <r>
          <rPr>
            <b/>
            <sz val="9"/>
            <color indexed="81"/>
            <rFont val="Tahoma"/>
            <family val="2"/>
          </rPr>
          <t>Klal Yisrael:</t>
        </r>
        <r>
          <rPr>
            <sz val="9"/>
            <color indexed="81"/>
            <rFont val="Tahoma"/>
            <family val="2"/>
          </rPr>
          <t xml:space="preserve">
For Meir חתונה</t>
        </r>
      </text>
    </comment>
    <comment ref="D6" authorId="1" shapeId="0" xr:uid="{6E41517A-E981-4DC6-971C-1707E5BD3429}">
      <text>
        <r>
          <rPr>
            <b/>
            <sz val="9"/>
            <color indexed="81"/>
            <rFont val="Tahoma"/>
            <family val="2"/>
          </rPr>
          <t>Stilerman:</t>
        </r>
        <r>
          <rPr>
            <sz val="9"/>
            <color indexed="81"/>
            <rFont val="Tahoma"/>
            <family val="2"/>
          </rPr>
          <t xml:space="preserve">
1) For Rabbi Caplon - Pesach</t>
        </r>
      </text>
    </comment>
    <comment ref="F6" authorId="1" shapeId="0" xr:uid="{E55357CC-5A9A-483B-8883-EB151E7B220E}">
      <text>
        <r>
          <rPr>
            <b/>
            <sz val="9"/>
            <color indexed="81"/>
            <rFont val="Tahoma"/>
            <family val="2"/>
          </rPr>
          <t>Stilerman:</t>
        </r>
        <r>
          <rPr>
            <sz val="9"/>
            <color indexed="81"/>
            <rFont val="Tahoma"/>
            <family val="2"/>
          </rPr>
          <t xml:space="preserve">
1) For Rabbi Caplon - Pesach</t>
        </r>
      </text>
    </comment>
    <comment ref="H6" authorId="1" shapeId="0" xr:uid="{00000000-0006-0000-0300-000002000000}">
      <text>
        <r>
          <rPr>
            <b/>
            <sz val="9"/>
            <color indexed="81"/>
            <rFont val="Tahoma"/>
            <family val="2"/>
          </rPr>
          <t>Stilerman:</t>
        </r>
        <r>
          <rPr>
            <sz val="9"/>
            <color indexed="81"/>
            <rFont val="Tahoma"/>
            <family val="2"/>
          </rPr>
          <t xml:space="preserve">
1) סוכות תשעט</t>
        </r>
      </text>
    </comment>
    <comment ref="D8" authorId="0" shapeId="0" xr:uid="{B83190B3-53BA-480B-AB0A-62AA6CB42B8E}">
      <text>
        <r>
          <rPr>
            <b/>
            <sz val="9"/>
            <color indexed="81"/>
            <rFont val="Tahoma"/>
            <family val="2"/>
          </rPr>
          <t>Klal Yisrael:</t>
        </r>
        <r>
          <rPr>
            <sz val="9"/>
            <color indexed="81"/>
            <rFont val="Tahoma"/>
            <family val="2"/>
          </rPr>
          <t xml:space="preserve">
For Pesach</t>
        </r>
      </text>
    </comment>
    <comment ref="F8" authorId="0" shapeId="0" xr:uid="{D393E627-B417-4B9C-87DD-A9958FEF282C}">
      <text>
        <r>
          <rPr>
            <b/>
            <sz val="9"/>
            <color indexed="81"/>
            <rFont val="Tahoma"/>
            <family val="2"/>
          </rPr>
          <t>Klal Yisrael:</t>
        </r>
        <r>
          <rPr>
            <sz val="9"/>
            <color indexed="81"/>
            <rFont val="Tahoma"/>
            <family val="2"/>
          </rPr>
          <t xml:space="preserve">
For מתניות לאביונים</t>
        </r>
      </text>
    </comment>
    <comment ref="J8" authorId="1" shapeId="0" xr:uid="{00000000-0006-0000-0300-000003000000}">
      <text>
        <r>
          <rPr>
            <b/>
            <sz val="9"/>
            <color indexed="81"/>
            <rFont val="Tahoma"/>
            <family val="2"/>
          </rPr>
          <t>Stilerman:</t>
        </r>
        <r>
          <rPr>
            <sz val="9"/>
            <color indexed="81"/>
            <rFont val="Tahoma"/>
            <family val="2"/>
          </rPr>
          <t xml:space="preserve">
For YES - though them</t>
        </r>
      </text>
    </comment>
    <comment ref="F9" authorId="0" shapeId="0" xr:uid="{E3C383A7-B9B4-4DE9-BD83-A6057B0283B5}">
      <text>
        <r>
          <rPr>
            <b/>
            <sz val="9"/>
            <color indexed="81"/>
            <rFont val="Tahoma"/>
            <family val="2"/>
          </rPr>
          <t>Klal Yisrael:</t>
        </r>
        <r>
          <rPr>
            <sz val="9"/>
            <color indexed="81"/>
            <rFont val="Tahoma"/>
            <family val="2"/>
          </rPr>
          <t xml:space="preserve">
For Meir חתונה</t>
        </r>
      </text>
    </comment>
    <comment ref="H9" authorId="0" shapeId="0" xr:uid="{00000000-0006-0000-0300-000004000000}">
      <text>
        <r>
          <rPr>
            <b/>
            <sz val="9"/>
            <color indexed="81"/>
            <rFont val="Tahoma"/>
            <family val="2"/>
          </rPr>
          <t>Klal Yisrael:</t>
        </r>
        <r>
          <rPr>
            <sz val="9"/>
            <color indexed="81"/>
            <rFont val="Tahoma"/>
            <family val="2"/>
          </rPr>
          <t xml:space="preserve">
For Ita חתונה</t>
        </r>
      </text>
    </comment>
    <comment ref="H10" authorId="0" shapeId="0" xr:uid="{00000000-0006-0000-0300-000005000000}">
      <text>
        <r>
          <rPr>
            <b/>
            <sz val="9"/>
            <color indexed="81"/>
            <rFont val="Tahoma"/>
            <family val="2"/>
          </rPr>
          <t>Klal Yisrael:</t>
        </r>
        <r>
          <rPr>
            <sz val="9"/>
            <color indexed="81"/>
            <rFont val="Tahoma"/>
            <family val="2"/>
          </rPr>
          <t xml:space="preserve">
1) For Pesach campagn, I paid for it there. 
Therefore it is credited to me
3) סוכות תשעט</t>
        </r>
      </text>
    </comment>
    <comment ref="F11" authorId="0" shapeId="0" xr:uid="{A8E12CBA-E098-4493-A4CE-BE9D7F60A883}">
      <text>
        <r>
          <rPr>
            <b/>
            <sz val="9"/>
            <color indexed="81"/>
            <rFont val="Tahoma"/>
            <family val="2"/>
          </rPr>
          <t>Klal Yisrael:</t>
        </r>
        <r>
          <rPr>
            <sz val="9"/>
            <color indexed="81"/>
            <rFont val="Tahoma"/>
            <family val="2"/>
          </rPr>
          <t xml:space="preserve">
1) For Friends Chasunah</t>
        </r>
      </text>
    </comment>
    <comment ref="D12" authorId="0" shapeId="0" xr:uid="{3E8564B7-A2F5-49F8-8DC9-50FCAE264CA5}">
      <text>
        <r>
          <rPr>
            <b/>
            <sz val="9"/>
            <color indexed="81"/>
            <rFont val="Tahoma"/>
            <family val="2"/>
          </rPr>
          <t>Klal Yisrael:</t>
        </r>
        <r>
          <rPr>
            <sz val="9"/>
            <color indexed="81"/>
            <rFont val="Tahoma"/>
            <family val="2"/>
          </rPr>
          <t xml:space="preserve">
1) For Martin - Beis Ariel</t>
        </r>
      </text>
    </comment>
    <comment ref="H13" authorId="1" shapeId="0" xr:uid="{00000000-0006-0000-0300-000006000000}">
      <text>
        <r>
          <rPr>
            <b/>
            <sz val="9"/>
            <color indexed="81"/>
            <rFont val="Tahoma"/>
            <family val="2"/>
          </rPr>
          <t>Stilerman:</t>
        </r>
        <r>
          <rPr>
            <sz val="9"/>
            <color indexed="81"/>
            <rFont val="Tahoma"/>
            <family val="2"/>
          </rPr>
          <t xml:space="preserve">
1) Reb Mordechai</t>
        </r>
      </text>
    </comment>
    <comment ref="H14" authorId="0" shapeId="0" xr:uid="{00000000-0006-0000-0300-000007000000}">
      <text>
        <r>
          <rPr>
            <b/>
            <sz val="9"/>
            <color indexed="81"/>
            <rFont val="Tahoma"/>
            <family val="2"/>
          </rPr>
          <t>Klal Yisrael:</t>
        </r>
        <r>
          <rPr>
            <sz val="9"/>
            <color indexed="81"/>
            <rFont val="Tahoma"/>
            <family val="2"/>
          </rPr>
          <t xml:space="preserve">
200 שקלים for FE</t>
        </r>
      </text>
    </comment>
    <comment ref="C15" authorId="0" shapeId="0" xr:uid="{A304AA82-52BA-4D86-BE22-76102CE9E362}">
      <text>
        <r>
          <rPr>
            <b/>
            <sz val="9"/>
            <color indexed="81"/>
            <rFont val="Tahoma"/>
            <family val="2"/>
          </rPr>
          <t>Klal Yisrael:</t>
        </r>
        <r>
          <rPr>
            <sz val="9"/>
            <color indexed="81"/>
            <rFont val="Tahoma"/>
            <family val="2"/>
          </rPr>
          <t xml:space="preserve">
Chanukah Mesiba - that I bought out.</t>
        </r>
      </text>
    </comment>
    <comment ref="F16" authorId="0" shapeId="0" xr:uid="{8E1026EF-44B8-4997-943D-3510516299E8}">
      <text>
        <r>
          <rPr>
            <b/>
            <sz val="9"/>
            <color indexed="81"/>
            <rFont val="Tahoma"/>
            <family val="2"/>
          </rPr>
          <t>Klal Yisrael:</t>
        </r>
        <r>
          <rPr>
            <sz val="9"/>
            <color indexed="81"/>
            <rFont val="Tahoma"/>
            <family val="2"/>
          </rPr>
          <t xml:space="preserve">
1) Succas - for Reb Yitz </t>
        </r>
      </text>
    </comment>
    <comment ref="D17" authorId="0" shapeId="0" xr:uid="{69A51852-8223-42E6-87E5-BBC2A3D36FC3}">
      <text>
        <r>
          <rPr>
            <b/>
            <sz val="9"/>
            <color indexed="81"/>
            <rFont val="Tahoma"/>
            <family val="2"/>
          </rPr>
          <t>Klal Yisrael:</t>
        </r>
        <r>
          <rPr>
            <sz val="9"/>
            <color indexed="81"/>
            <rFont val="Tahoma"/>
            <family val="2"/>
          </rPr>
          <t xml:space="preserve">
1) Purim
2) Pesach</t>
        </r>
      </text>
    </comment>
    <comment ref="H20" authorId="0" shapeId="0" xr:uid="{00000000-0006-0000-0300-000008000000}">
      <text>
        <r>
          <rPr>
            <b/>
            <sz val="9"/>
            <color indexed="81"/>
            <rFont val="Tahoma"/>
            <family val="2"/>
          </rPr>
          <t>Klal Yisrael:</t>
        </r>
        <r>
          <rPr>
            <sz val="9"/>
            <color indexed="81"/>
            <rFont val="Tahoma"/>
            <family val="2"/>
          </rPr>
          <t xml:space="preserve">
$1,000 CDN - For Reb Mordechai</t>
        </r>
      </text>
    </comment>
    <comment ref="G21" authorId="0" shapeId="0" xr:uid="{6B57C29E-B569-481E-8E89-D73862910443}">
      <text>
        <r>
          <rPr>
            <b/>
            <sz val="9"/>
            <color indexed="81"/>
            <rFont val="Tahoma"/>
            <family val="2"/>
          </rPr>
          <t>Klal Yisrael:</t>
        </r>
        <r>
          <rPr>
            <sz val="9"/>
            <color indexed="81"/>
            <rFont val="Tahoma"/>
            <family val="2"/>
          </rPr>
          <t xml:space="preserve">
1) For Meir חתונה
2) $500 For Sekula</t>
        </r>
      </text>
    </comment>
    <comment ref="C22" authorId="0" shapeId="0" xr:uid="{18546D95-7F4C-4282-A9DD-0FA9D9407352}">
      <text>
        <r>
          <rPr>
            <b/>
            <sz val="9"/>
            <color indexed="81"/>
            <rFont val="Tahoma"/>
            <family val="2"/>
          </rPr>
          <t>Klal Yisrael:</t>
        </r>
        <r>
          <rPr>
            <sz val="9"/>
            <color indexed="81"/>
            <rFont val="Tahoma"/>
            <family val="2"/>
          </rPr>
          <t xml:space="preserve">
1) $1,800 (that I bought out)
5 families for pesach - Nachshon, Friend, Gellis, Matis Goldsmith, and Kunreich</t>
        </r>
      </text>
    </comment>
    <comment ref="D22" authorId="0" shapeId="0" xr:uid="{D4213718-A6FE-4439-B5F9-F6D84318EB51}">
      <text>
        <r>
          <rPr>
            <b/>
            <sz val="9"/>
            <color indexed="81"/>
            <rFont val="Tahoma"/>
            <family val="2"/>
          </rPr>
          <t>Klal Yisrael:</t>
        </r>
        <r>
          <rPr>
            <sz val="9"/>
            <color indexed="81"/>
            <rFont val="Tahoma"/>
            <family val="2"/>
          </rPr>
          <t xml:space="preserve">
1) For Reb Avrohom + Matanos leevyonim
2) His $3,180 donation for Yom Tov - went into Ezras Achim Yom Tov account (not mine)
3) $960 Succas
4) End of year - Dec 26 - 3000 NIS, $932 - תענוגים לשבת בשביל פרינד</t>
        </r>
      </text>
    </comment>
    <comment ref="F22" authorId="0" shapeId="0" xr:uid="{0C2B3F13-9318-4488-BDD6-11108EAEAFBA}">
      <text>
        <r>
          <rPr>
            <b/>
            <sz val="9"/>
            <color indexed="81"/>
            <rFont val="Tahoma"/>
            <family val="2"/>
          </rPr>
          <t>Klal Yisrael:</t>
        </r>
        <r>
          <rPr>
            <sz val="9"/>
            <color indexed="81"/>
            <rFont val="Tahoma"/>
            <family val="2"/>
          </rPr>
          <t xml:space="preserve">
1) For Friend, for Yom Tov
2) 260 for Friend + 400, for 4 families
3) Bamberger - Yarchei Kalah
4) Friend Tanugim - $16 for 52 weeks - 832</t>
        </r>
      </text>
    </comment>
    <comment ref="H22" authorId="0" shapeId="0" xr:uid="{A1AE623C-F7B8-4CDB-BFAF-D10D8F5EAC73}">
      <text>
        <r>
          <rPr>
            <b/>
            <sz val="9"/>
            <color indexed="81"/>
            <rFont val="Tahoma"/>
            <family val="2"/>
          </rPr>
          <t>Klal Yisrael:</t>
        </r>
        <r>
          <rPr>
            <sz val="9"/>
            <color indexed="81"/>
            <rFont val="Tahoma"/>
            <family val="2"/>
          </rPr>
          <t xml:space="preserve">
1) My CC - For Reb Avrohom Freind. (I received 440 שקל)
2) $2,045.58
</t>
        </r>
      </text>
    </comment>
    <comment ref="H23" authorId="0" shapeId="0" xr:uid="{F3481427-94B5-4442-A499-61E6F7CDB823}">
      <text>
        <r>
          <rPr>
            <b/>
            <sz val="9"/>
            <color indexed="81"/>
            <rFont val="Tahoma"/>
            <family val="2"/>
          </rPr>
          <t>Klal Yisrael:</t>
        </r>
        <r>
          <rPr>
            <sz val="9"/>
            <color indexed="81"/>
            <rFont val="Tahoma"/>
            <family val="2"/>
          </rPr>
          <t xml:space="preserve">
$360 check - I gave to Rabbi Kirzner 11-28-18 - For Reb Avrohom Freind. (I gave Reb Avrhom Cash, so I put it on the bottom)</t>
        </r>
      </text>
    </comment>
    <comment ref="C25" authorId="0" shapeId="0" xr:uid="{4B91C4A5-A1C6-43CE-A35D-15A7E0867295}">
      <text>
        <r>
          <rPr>
            <b/>
            <sz val="9"/>
            <color indexed="81"/>
            <rFont val="Tahoma"/>
            <family val="2"/>
          </rPr>
          <t>Klal Yisrael:</t>
        </r>
        <r>
          <rPr>
            <sz val="9"/>
            <color indexed="81"/>
            <rFont val="Tahoma"/>
            <family val="2"/>
          </rPr>
          <t xml:space="preserve">
1) $50 on web campaign - Jan 12
one shot, on cc machine</t>
        </r>
      </text>
    </comment>
    <comment ref="F26" authorId="0" shapeId="0" xr:uid="{013240BD-2B25-4F76-BBB8-F0654A0BF2A3}">
      <text>
        <r>
          <rPr>
            <b/>
            <sz val="9"/>
            <color indexed="81"/>
            <rFont val="Tahoma"/>
            <family val="2"/>
          </rPr>
          <t>Klal Yisrael:</t>
        </r>
        <r>
          <rPr>
            <sz val="9"/>
            <color indexed="81"/>
            <rFont val="Tahoma"/>
            <family val="2"/>
          </rPr>
          <t xml:space="preserve">
$50 For Meir Chasunah</t>
        </r>
      </text>
    </comment>
    <comment ref="H26" authorId="0" shapeId="0" xr:uid="{00000000-0006-0000-0300-00000A000000}">
      <text>
        <r>
          <rPr>
            <b/>
            <sz val="9"/>
            <color indexed="81"/>
            <rFont val="Tahoma"/>
            <family val="2"/>
          </rPr>
          <t>Klal Yisrael:</t>
        </r>
        <r>
          <rPr>
            <sz val="9"/>
            <color indexed="81"/>
            <rFont val="Tahoma"/>
            <family val="2"/>
          </rPr>
          <t xml:space="preserve">
7 months</t>
        </r>
      </text>
    </comment>
    <comment ref="I26" authorId="1" shapeId="0" xr:uid="{00000000-0006-0000-0300-00000B000000}">
      <text>
        <r>
          <rPr>
            <b/>
            <sz val="9"/>
            <color indexed="81"/>
            <rFont val="Tahoma"/>
            <family val="2"/>
          </rPr>
          <t>Stilerman:</t>
        </r>
        <r>
          <rPr>
            <sz val="9"/>
            <color indexed="81"/>
            <rFont val="Tahoma"/>
            <family val="2"/>
          </rPr>
          <t xml:space="preserve">
1) 200 cash
2) 12*200 CC</t>
        </r>
      </text>
    </comment>
    <comment ref="H27" authorId="1" shapeId="0" xr:uid="{00000000-0006-0000-0300-00000C000000}">
      <text>
        <r>
          <rPr>
            <b/>
            <sz val="9"/>
            <color indexed="81"/>
            <rFont val="Tahoma"/>
            <family val="2"/>
          </rPr>
          <t>Stilerman:</t>
        </r>
        <r>
          <rPr>
            <sz val="9"/>
            <color indexed="81"/>
            <rFont val="Tahoma"/>
            <family val="2"/>
          </rPr>
          <t xml:space="preserve">
1) For Wedding</t>
        </r>
      </text>
    </comment>
    <comment ref="I27" authorId="0" shapeId="0" xr:uid="{00000000-0006-0000-0300-000009000000}">
      <text>
        <r>
          <rPr>
            <b/>
            <sz val="9"/>
            <color indexed="81"/>
            <rFont val="Tahoma"/>
            <family val="2"/>
          </rPr>
          <t>Klal Yisrael</t>
        </r>
        <r>
          <rPr>
            <sz val="9"/>
            <color indexed="81"/>
            <rFont val="Tahoma"/>
            <family val="2"/>
          </rPr>
          <t xml:space="preserve">: Michael Flom
one time - for the past couple of months (that they missed)
</t>
        </r>
      </text>
    </comment>
    <comment ref="C28" authorId="0" shapeId="0" xr:uid="{5408E06E-7C45-4B58-8580-A996D974323D}">
      <text>
        <r>
          <rPr>
            <b/>
            <sz val="9"/>
            <color indexed="81"/>
            <rFont val="Tahoma"/>
            <family val="2"/>
          </rPr>
          <t>Klal Yisrael:</t>
        </r>
        <r>
          <rPr>
            <sz val="9"/>
            <color indexed="81"/>
            <rFont val="Tahoma"/>
            <family val="2"/>
          </rPr>
          <t xml:space="preserve">
1) $815 on web campaign - through Shimi Fructur
(besides himself)
minus 157 - from matching</t>
        </r>
      </text>
    </comment>
    <comment ref="B29" authorId="0" shapeId="0" xr:uid="{9F49A24C-A5EC-4A42-96AD-FF8D82E9512E}">
      <text>
        <r>
          <rPr>
            <b/>
            <sz val="9"/>
            <color indexed="81"/>
            <rFont val="Tahoma"/>
            <family val="2"/>
          </rPr>
          <t>Klal Yisrael:</t>
        </r>
        <r>
          <rPr>
            <sz val="9"/>
            <color indexed="81"/>
            <rFont val="Tahoma"/>
            <family val="2"/>
          </rPr>
          <t xml:space="preserve">
total 216 - on Web Campaign</t>
        </r>
      </text>
    </comment>
    <comment ref="C29" authorId="0" shapeId="0" xr:uid="{FA2E8B08-D786-4522-9D7A-57F5F1772DF9}">
      <text>
        <r>
          <rPr>
            <b/>
            <sz val="9"/>
            <color indexed="81"/>
            <rFont val="Tahoma"/>
            <family val="2"/>
          </rPr>
          <t>Klal Yisrael:</t>
        </r>
        <r>
          <rPr>
            <sz val="9"/>
            <color indexed="81"/>
            <rFont val="Tahoma"/>
            <family val="2"/>
          </rPr>
          <t xml:space="preserve">
total 216 - on Web Campaign</t>
        </r>
      </text>
    </comment>
    <comment ref="C30" authorId="0" shapeId="0" xr:uid="{F7B1B6D8-6AE2-48F8-8029-8FE89DB03E10}">
      <text>
        <r>
          <rPr>
            <b/>
            <sz val="9"/>
            <color indexed="81"/>
            <rFont val="Tahoma"/>
            <family val="2"/>
          </rPr>
          <t>Klal Yisrael:</t>
        </r>
        <r>
          <rPr>
            <sz val="9"/>
            <color indexed="81"/>
            <rFont val="Tahoma"/>
            <family val="2"/>
          </rPr>
          <t xml:space="preserve">
1) $54 on web campaign - through Aryeh Reichman</t>
        </r>
      </text>
    </comment>
    <comment ref="H31" authorId="1" shapeId="0" xr:uid="{00000000-0006-0000-0300-00000D000000}">
      <text>
        <r>
          <rPr>
            <b/>
            <sz val="9"/>
            <color indexed="81"/>
            <rFont val="Tahoma"/>
            <family val="2"/>
          </rPr>
          <t>Stilerman:</t>
        </r>
        <r>
          <rPr>
            <sz val="9"/>
            <color indexed="81"/>
            <rFont val="Tahoma"/>
            <family val="2"/>
          </rPr>
          <t xml:space="preserve">
1) Reb Mordechai</t>
        </r>
      </text>
    </comment>
    <comment ref="G33" authorId="0" shapeId="0" xr:uid="{9225F9E0-E3A4-4A11-90E8-045AD67141B8}">
      <text>
        <r>
          <rPr>
            <b/>
            <sz val="9"/>
            <color indexed="81"/>
            <rFont val="Tahoma"/>
            <family val="2"/>
          </rPr>
          <t>Klal Yisrael:</t>
        </r>
        <r>
          <rPr>
            <sz val="9"/>
            <color indexed="81"/>
            <rFont val="Tahoma"/>
            <family val="2"/>
          </rPr>
          <t xml:space="preserve">
600 Sh.
Ari received from sister-in-law</t>
        </r>
      </text>
    </comment>
    <comment ref="F34" authorId="0" shapeId="0" xr:uid="{F926C72A-3F90-43BB-AEAF-FE699924ABFC}">
      <text>
        <r>
          <rPr>
            <b/>
            <sz val="9"/>
            <color indexed="81"/>
            <rFont val="Tahoma"/>
            <family val="2"/>
          </rPr>
          <t>Klal Yisrael:</t>
        </r>
        <r>
          <rPr>
            <sz val="9"/>
            <color indexed="81"/>
            <rFont val="Tahoma"/>
            <family val="2"/>
          </rPr>
          <t xml:space="preserve">
1) 1,800 - For Reb Avrohom Friend, pesach
2) 1,000 - מתניות לאביונים</t>
        </r>
      </text>
    </comment>
    <comment ref="H34" authorId="0" shapeId="0" xr:uid="{00000000-0006-0000-0300-00000E000000}">
      <text>
        <r>
          <rPr>
            <b/>
            <sz val="9"/>
            <color indexed="81"/>
            <rFont val="Tahoma"/>
            <family val="2"/>
          </rPr>
          <t>Klal Yisrael:</t>
        </r>
        <r>
          <rPr>
            <sz val="9"/>
            <color indexed="81"/>
            <rFont val="Tahoma"/>
            <family val="2"/>
          </rPr>
          <t xml:space="preserve">
1) 10,000 - 5%
-$500
$9,500
2) Ginzberg בעז"ה.
To give for טבת ע"ח and on ...
For Avrohom Friend.
$250 a month.
$3,000 - 
1) He paid already $2000 (that until the end of אב) 
3) $1,800 For Sucas. For Reb Avrohom Freind.
4) $1,500 check - I gave to Rabbi Kirzner 11-28-18 (till the end of Shvat) - For Reb Avrohom Freind.</t>
        </r>
      </text>
    </comment>
    <comment ref="F35" authorId="0" shapeId="0" xr:uid="{0136F714-9223-410D-A18E-AD4FF02CC37C}">
      <text>
        <r>
          <rPr>
            <b/>
            <sz val="9"/>
            <color indexed="81"/>
            <rFont val="Tahoma"/>
            <family val="2"/>
          </rPr>
          <t>Klal Yisrael:</t>
        </r>
        <r>
          <rPr>
            <sz val="9"/>
            <color indexed="81"/>
            <rFont val="Tahoma"/>
            <family val="2"/>
          </rPr>
          <t xml:space="preserve">
1) For Friends Chasunah</t>
        </r>
      </text>
    </comment>
    <comment ref="A36" authorId="1" shapeId="0" xr:uid="{00000000-0006-0000-0300-00000F000000}">
      <text>
        <r>
          <rPr>
            <b/>
            <sz val="9"/>
            <color indexed="81"/>
            <rFont val="Tahoma"/>
            <family val="2"/>
          </rPr>
          <t>Stilerman:</t>
        </r>
        <r>
          <rPr>
            <sz val="9"/>
            <color indexed="81"/>
            <rFont val="Tahoma"/>
            <family val="2"/>
          </rPr>
          <t xml:space="preserve">
For YL
From moshe Gold</t>
        </r>
      </text>
    </comment>
    <comment ref="J36" authorId="2" shapeId="0" xr:uid="{00000000-0006-0000-0300-000010000000}">
      <text>
        <r>
          <rPr>
            <b/>
            <sz val="9"/>
            <color indexed="81"/>
            <rFont val="Tahoma"/>
            <family val="2"/>
          </rPr>
          <t>stilerman:</t>
        </r>
        <r>
          <rPr>
            <sz val="9"/>
            <color indexed="81"/>
            <rFont val="Tahoma"/>
            <family val="2"/>
          </rPr>
          <t xml:space="preserve">
For YL</t>
        </r>
      </text>
    </comment>
    <comment ref="D37" authorId="0" shapeId="0" xr:uid="{4C66BB16-BC9A-4C3E-AEE9-3BF1D363E2E8}">
      <text>
        <r>
          <rPr>
            <b/>
            <sz val="9"/>
            <color indexed="81"/>
            <rFont val="Tahoma"/>
            <family val="2"/>
          </rPr>
          <t>Klal Yisrael:</t>
        </r>
        <r>
          <rPr>
            <sz val="9"/>
            <color indexed="81"/>
            <rFont val="Tahoma"/>
            <family val="2"/>
          </rPr>
          <t xml:space="preserve">
5 months - Jan through May.
June 1 - started sending to Ner Gavriel</t>
        </r>
      </text>
    </comment>
    <comment ref="I37" authorId="2" shapeId="0" xr:uid="{00000000-0006-0000-0300-000011000000}">
      <text>
        <r>
          <rPr>
            <b/>
            <sz val="9"/>
            <color indexed="81"/>
            <rFont val="Tahoma"/>
            <family val="2"/>
          </rPr>
          <t>stilerman:</t>
        </r>
        <r>
          <rPr>
            <sz val="9"/>
            <color indexed="81"/>
            <rFont val="Tahoma"/>
            <family val="2"/>
          </rPr>
          <t xml:space="preserve">
For sons (that I gave for pesach)</t>
        </r>
      </text>
    </comment>
    <comment ref="J37" authorId="2" shapeId="0" xr:uid="{00000000-0006-0000-0300-000012000000}">
      <text>
        <r>
          <rPr>
            <b/>
            <sz val="9"/>
            <color indexed="81"/>
            <rFont val="Tahoma"/>
            <family val="2"/>
          </rPr>
          <t>stilerman:</t>
        </r>
        <r>
          <rPr>
            <sz val="9"/>
            <color indexed="81"/>
            <rFont val="Tahoma"/>
            <family val="2"/>
          </rPr>
          <t xml:space="preserve">
For YL</t>
        </r>
      </text>
    </comment>
    <comment ref="A38" authorId="2" shapeId="0" xr:uid="{00000000-0006-0000-0300-000014000000}">
      <text>
        <r>
          <rPr>
            <b/>
            <sz val="9"/>
            <color indexed="81"/>
            <rFont val="Tahoma"/>
            <family val="2"/>
          </rPr>
          <t>stilerman:</t>
        </r>
        <r>
          <rPr>
            <sz val="9"/>
            <color indexed="81"/>
            <rFont val="Tahoma"/>
            <family val="2"/>
          </rPr>
          <t xml:space="preserve">
From FE Stern (without knoledge)</t>
        </r>
      </text>
    </comment>
    <comment ref="F38" authorId="2" shapeId="0" xr:uid="{8D2AE2BD-584D-45F7-BC81-5257A99D82B0}">
      <text>
        <r>
          <rPr>
            <b/>
            <sz val="9"/>
            <color indexed="81"/>
            <rFont val="Tahoma"/>
            <family val="2"/>
          </rPr>
          <t>stilerman:</t>
        </r>
        <r>
          <rPr>
            <sz val="9"/>
            <color indexed="81"/>
            <rFont val="Tahoma"/>
            <family val="2"/>
          </rPr>
          <t xml:space="preserve">
For Arial Maton - From Sabbah, Eric</t>
        </r>
      </text>
    </comment>
    <comment ref="J38" authorId="2" shapeId="0" xr:uid="{00000000-0006-0000-0300-000015000000}">
      <text>
        <r>
          <rPr>
            <b/>
            <sz val="9"/>
            <color indexed="81"/>
            <rFont val="Tahoma"/>
            <family val="2"/>
          </rPr>
          <t>stilerman:</t>
        </r>
        <r>
          <rPr>
            <sz val="9"/>
            <color indexed="81"/>
            <rFont val="Tahoma"/>
            <family val="2"/>
          </rPr>
          <t xml:space="preserve">
For YL</t>
        </r>
      </text>
    </comment>
    <comment ref="J39" authorId="2" shapeId="0" xr:uid="{00000000-0006-0000-0300-000017000000}">
      <text>
        <r>
          <rPr>
            <b/>
            <sz val="9"/>
            <color indexed="81"/>
            <rFont val="Tahoma"/>
            <family val="2"/>
          </rPr>
          <t>stilerman:</t>
        </r>
        <r>
          <rPr>
            <sz val="9"/>
            <color indexed="81"/>
            <rFont val="Tahoma"/>
            <family val="2"/>
          </rPr>
          <t xml:space="preserve">
For YL</t>
        </r>
      </text>
    </comment>
    <comment ref="C40" authorId="0" shapeId="0" xr:uid="{DB7DA0A9-DD32-4509-B9DD-FC1C407C25F6}">
      <text>
        <r>
          <rPr>
            <b/>
            <sz val="9"/>
            <color indexed="81"/>
            <rFont val="Tahoma"/>
            <family val="2"/>
          </rPr>
          <t>Klal Yisrael:</t>
        </r>
        <r>
          <rPr>
            <sz val="9"/>
            <color indexed="81"/>
            <rFont val="Tahoma"/>
            <family val="2"/>
          </rPr>
          <t xml:space="preserve">
On Sasson Gross page
Minus 5 - bc of matching</t>
        </r>
      </text>
    </comment>
    <comment ref="C41" authorId="0" shapeId="0" xr:uid="{82CC082D-6CB2-4B30-BF07-3DD72B50E3E0}">
      <text>
        <r>
          <rPr>
            <b/>
            <sz val="9"/>
            <color indexed="81"/>
            <rFont val="Tahoma"/>
            <family val="2"/>
          </rPr>
          <t>Klal Yisrael:</t>
        </r>
        <r>
          <rPr>
            <sz val="9"/>
            <color indexed="81"/>
            <rFont val="Tahoma"/>
            <family val="2"/>
          </rPr>
          <t xml:space="preserve">
1) $50 on web campaign - Jan 12</t>
        </r>
      </text>
    </comment>
    <comment ref="D41" authorId="1" shapeId="0" xr:uid="{9569B128-F442-4BEB-96C0-8470001D4AF6}">
      <text>
        <r>
          <rPr>
            <b/>
            <sz val="9"/>
            <color indexed="81"/>
            <rFont val="Tahoma"/>
            <family val="2"/>
          </rPr>
          <t>Stilerman:</t>
        </r>
        <r>
          <rPr>
            <sz val="9"/>
            <color indexed="81"/>
            <rFont val="Tahoma"/>
            <family val="2"/>
          </rPr>
          <t xml:space="preserve">
1) Pesach 1
2) Pesach 2</t>
        </r>
      </text>
    </comment>
    <comment ref="H42" authorId="1" shapeId="0" xr:uid="{00000000-0006-0000-0300-000013000000}">
      <text>
        <r>
          <rPr>
            <b/>
            <sz val="9"/>
            <color indexed="81"/>
            <rFont val="Tahoma"/>
            <family val="2"/>
          </rPr>
          <t>Stilerman:</t>
        </r>
        <r>
          <rPr>
            <sz val="9"/>
            <color indexed="81"/>
            <rFont val="Tahoma"/>
            <family val="2"/>
          </rPr>
          <t xml:space="preserve">
1) For pesach campaign.</t>
        </r>
      </text>
    </comment>
    <comment ref="D43" authorId="0" shapeId="0" xr:uid="{6533A269-67F3-4BD0-96D1-DBBB42EF26BB}">
      <text>
        <r>
          <rPr>
            <b/>
            <sz val="9"/>
            <color indexed="81"/>
            <rFont val="Tahoma"/>
            <family val="2"/>
          </rPr>
          <t>Klal Yisrael:</t>
        </r>
        <r>
          <rPr>
            <sz val="9"/>
            <color indexed="81"/>
            <rFont val="Tahoma"/>
            <family val="2"/>
          </rPr>
          <t xml:space="preserve">
Pesach</t>
        </r>
      </text>
    </comment>
    <comment ref="F43" authorId="0" shapeId="0" xr:uid="{176E4A25-D9C3-42B5-BC8B-8E2A6011871E}">
      <text>
        <r>
          <rPr>
            <b/>
            <sz val="9"/>
            <color indexed="81"/>
            <rFont val="Tahoma"/>
            <family val="2"/>
          </rPr>
          <t>Klal Yisrael:</t>
        </r>
        <r>
          <rPr>
            <sz val="9"/>
            <color indexed="81"/>
            <rFont val="Tahoma"/>
            <family val="2"/>
          </rPr>
          <t xml:space="preserve">
For Meir חתונה</t>
        </r>
      </text>
    </comment>
    <comment ref="H44" authorId="2" shapeId="0" xr:uid="{003A0104-C0B5-404C-B187-60B995CA9DB2}">
      <text>
        <r>
          <rPr>
            <b/>
            <sz val="9"/>
            <color indexed="81"/>
            <rFont val="Tahoma"/>
            <family val="2"/>
          </rPr>
          <t>stilerman:</t>
        </r>
        <r>
          <rPr>
            <sz val="9"/>
            <color indexed="81"/>
            <rFont val="Tahoma"/>
            <family val="2"/>
          </rPr>
          <t xml:space="preserve">
From Gold - I gave cash to Sternberg, so it is mine.</t>
        </r>
      </text>
    </comment>
    <comment ref="J44" authorId="2" shapeId="0" xr:uid="{00000000-0006-0000-0300-000016000000}">
      <text>
        <r>
          <rPr>
            <b/>
            <sz val="9"/>
            <color indexed="81"/>
            <rFont val="Tahoma"/>
            <family val="2"/>
          </rPr>
          <t>stilerman:</t>
        </r>
        <r>
          <rPr>
            <sz val="9"/>
            <color indexed="81"/>
            <rFont val="Tahoma"/>
            <family val="2"/>
          </rPr>
          <t xml:space="preserve">
For YL
1) 400
2) 400 in תמוז</t>
        </r>
      </text>
    </comment>
    <comment ref="F45" authorId="0" shapeId="0" xr:uid="{C4B48C21-95D1-4835-8D71-93542207D6CA}">
      <text>
        <r>
          <rPr>
            <b/>
            <sz val="9"/>
            <color indexed="81"/>
            <rFont val="Tahoma"/>
            <family val="2"/>
          </rPr>
          <t>Klal Yisrael:</t>
        </r>
        <r>
          <rPr>
            <sz val="9"/>
            <color indexed="81"/>
            <rFont val="Tahoma"/>
            <family val="2"/>
          </rPr>
          <t xml:space="preserve">
1) My CC - for Baum
For 7,000 shekels receipt</t>
        </r>
      </text>
    </comment>
    <comment ref="C46" authorId="0" shapeId="0" xr:uid="{52F1B810-A0FD-4B53-8E37-ADAC4444D1E5}">
      <text>
        <r>
          <rPr>
            <b/>
            <sz val="9"/>
            <color indexed="81"/>
            <rFont val="Tahoma"/>
            <family val="2"/>
          </rPr>
          <t>Klal Yisrael:</t>
        </r>
        <r>
          <rPr>
            <sz val="9"/>
            <color indexed="81"/>
            <rFont val="Tahoma"/>
            <family val="2"/>
          </rPr>
          <t xml:space="preserve">
1) Tuvia Greenberg - $200 on web campaign - Jan 12</t>
        </r>
      </text>
    </comment>
    <comment ref="F47" authorId="0" shapeId="0" xr:uid="{F7A18D22-B01B-4932-91FC-82D9B80E50D2}">
      <text>
        <r>
          <rPr>
            <b/>
            <sz val="9"/>
            <color indexed="81"/>
            <rFont val="Tahoma"/>
            <family val="2"/>
          </rPr>
          <t>Klal Yisrael:</t>
        </r>
        <r>
          <rPr>
            <sz val="9"/>
            <color indexed="81"/>
            <rFont val="Tahoma"/>
            <family val="2"/>
          </rPr>
          <t xml:space="preserve">
1) For Meir חתונה
2) Father - Reb Binyomin</t>
        </r>
      </text>
    </comment>
    <comment ref="D48" authorId="0" shapeId="0" xr:uid="{735961A9-21F4-485B-993F-DEBF0FAFE057}">
      <text>
        <r>
          <rPr>
            <b/>
            <sz val="9"/>
            <color indexed="81"/>
            <rFont val="Tahoma"/>
            <family val="2"/>
          </rPr>
          <t>Klal Yisrael:</t>
        </r>
        <r>
          <rPr>
            <sz val="9"/>
            <color indexed="81"/>
            <rFont val="Tahoma"/>
            <family val="2"/>
          </rPr>
          <t xml:space="preserve">
1) Bram Greenberg, Tuvia Father - מתניות לאביונים</t>
        </r>
      </text>
    </comment>
    <comment ref="C49" authorId="0" shapeId="0" xr:uid="{85DC88A9-1FD1-4B64-BFB8-6207F30B4130}">
      <text>
        <r>
          <rPr>
            <b/>
            <sz val="9"/>
            <color indexed="81"/>
            <rFont val="Tahoma"/>
            <family val="2"/>
          </rPr>
          <t>Klal Yisrael:</t>
        </r>
        <r>
          <rPr>
            <sz val="9"/>
            <color indexed="81"/>
            <rFont val="Tahoma"/>
            <family val="2"/>
          </rPr>
          <t xml:space="preserve">
On Sasson Gross page</t>
        </r>
      </text>
    </comment>
    <comment ref="F50" authorId="0" shapeId="0" xr:uid="{FB41C987-739F-46F3-BE2C-39E8D1CF7954}">
      <text>
        <r>
          <rPr>
            <b/>
            <sz val="9"/>
            <color indexed="81"/>
            <rFont val="Tahoma"/>
            <family val="2"/>
          </rPr>
          <t>Klal Yisrael:</t>
        </r>
        <r>
          <rPr>
            <sz val="9"/>
            <color indexed="81"/>
            <rFont val="Tahoma"/>
            <family val="2"/>
          </rPr>
          <t xml:space="preserve">
For Meir חתונה</t>
        </r>
      </text>
    </comment>
    <comment ref="C51" authorId="0" shapeId="0" xr:uid="{C72C5501-3FB8-4D17-8D3C-6BD08E5C4E84}">
      <text>
        <r>
          <rPr>
            <b/>
            <sz val="9"/>
            <color indexed="81"/>
            <rFont val="Tahoma"/>
            <family val="2"/>
          </rPr>
          <t>Klal Yisrael:</t>
        </r>
        <r>
          <rPr>
            <sz val="9"/>
            <color indexed="81"/>
            <rFont val="Tahoma"/>
            <family val="2"/>
          </rPr>
          <t xml:space="preserve">
1) Halbershtom - $1500 on web campaign - Jan 12</t>
        </r>
      </text>
    </comment>
    <comment ref="D52" authorId="1" shapeId="0" xr:uid="{23FDBFE8-3F4E-4ACB-8DAB-EF0B2446BBDA}">
      <text>
        <r>
          <rPr>
            <b/>
            <sz val="9"/>
            <color indexed="81"/>
            <rFont val="Tahoma"/>
            <family val="2"/>
          </rPr>
          <t>Stilerman:</t>
        </r>
        <r>
          <rPr>
            <sz val="9"/>
            <color indexed="81"/>
            <rFont val="Tahoma"/>
            <family val="2"/>
          </rPr>
          <t xml:space="preserve">
1) Pesach: A Friend - Daniel Czermak</t>
        </r>
      </text>
    </comment>
    <comment ref="F52" authorId="0" shapeId="0" xr:uid="{225EA60A-3DD0-4E15-ABF8-63CD4488A816}">
      <text>
        <r>
          <rPr>
            <b/>
            <sz val="9"/>
            <color indexed="81"/>
            <rFont val="Tahoma"/>
            <family val="2"/>
          </rPr>
          <t>Klal Yisrael:</t>
        </r>
        <r>
          <rPr>
            <sz val="9"/>
            <color indexed="81"/>
            <rFont val="Tahoma"/>
            <family val="2"/>
          </rPr>
          <t xml:space="preserve">
1) $1,500 (From my credit card, after a check from him went to my account).</t>
        </r>
      </text>
    </comment>
    <comment ref="F53" authorId="0" shapeId="0" xr:uid="{27407137-CF8C-4C1A-807B-4AC5AB86B625}">
      <text>
        <r>
          <rPr>
            <b/>
            <sz val="9"/>
            <color indexed="81"/>
            <rFont val="Tahoma"/>
            <family val="2"/>
          </rPr>
          <t>Klal Yisrael:</t>
        </r>
        <r>
          <rPr>
            <sz val="9"/>
            <color indexed="81"/>
            <rFont val="Tahoma"/>
            <family val="2"/>
          </rPr>
          <t xml:space="preserve">
1) For Friends Chasunah - that I placed monthly</t>
        </r>
      </text>
    </comment>
    <comment ref="D54" authorId="1" shapeId="0" xr:uid="{FFB05AA9-3372-40A8-85EC-B4C703FE5BA4}">
      <text>
        <r>
          <rPr>
            <b/>
            <sz val="9"/>
            <color indexed="81"/>
            <rFont val="Tahoma"/>
            <family val="2"/>
          </rPr>
          <t>Stilerman:</t>
        </r>
        <r>
          <rPr>
            <sz val="9"/>
            <color indexed="81"/>
            <rFont val="Tahoma"/>
            <family val="2"/>
          </rPr>
          <t xml:space="preserve">
1) מתניות לאביונים</t>
        </r>
      </text>
    </comment>
    <comment ref="F54" authorId="0" shapeId="0" xr:uid="{DD64E3BC-5D96-41F4-9B07-FCFDE8DA6C89}">
      <text>
        <r>
          <rPr>
            <b/>
            <sz val="9"/>
            <color indexed="81"/>
            <rFont val="Tahoma"/>
            <family val="2"/>
          </rPr>
          <t>Klal Yisrael:</t>
        </r>
        <r>
          <rPr>
            <sz val="9"/>
            <color indexed="81"/>
            <rFont val="Tahoma"/>
            <family val="2"/>
          </rPr>
          <t xml:space="preserve">
Gave $205.
$100 (+5) For Purim עניים. The rest, to Stilerman</t>
        </r>
      </text>
    </comment>
    <comment ref="H55" authorId="0" shapeId="0" xr:uid="{00000000-0006-0000-0300-000018000000}">
      <text>
        <r>
          <rPr>
            <b/>
            <sz val="9"/>
            <color indexed="81"/>
            <rFont val="Tahoma"/>
            <family val="2"/>
          </rPr>
          <t>Klal Yisrael:</t>
        </r>
        <r>
          <rPr>
            <sz val="9"/>
            <color indexed="81"/>
            <rFont val="Tahoma"/>
            <family val="2"/>
          </rPr>
          <t xml:space="preserve">
1) Reb Noach</t>
        </r>
      </text>
    </comment>
    <comment ref="D56" authorId="1" shapeId="0" xr:uid="{A3A57912-A52F-41E5-8796-2D762A1382AF}">
      <text>
        <r>
          <rPr>
            <b/>
            <sz val="9"/>
            <color indexed="81"/>
            <rFont val="Tahoma"/>
            <family val="2"/>
          </rPr>
          <t>Stilerman:</t>
        </r>
        <r>
          <rPr>
            <sz val="9"/>
            <color indexed="81"/>
            <rFont val="Tahoma"/>
            <family val="2"/>
          </rPr>
          <t xml:space="preserve">
1) Dec 31 2020 - to cover Reb Eli, 2021</t>
        </r>
      </text>
    </comment>
    <comment ref="H56" authorId="0" shapeId="0" xr:uid="{00000000-0006-0000-0300-000019000000}">
      <text>
        <r>
          <rPr>
            <b/>
            <sz val="9"/>
            <color indexed="81"/>
            <rFont val="Tahoma"/>
            <family val="2"/>
          </rPr>
          <t>Klal Yisrael:</t>
        </r>
        <r>
          <rPr>
            <sz val="9"/>
            <color indexed="81"/>
            <rFont val="Tahoma"/>
            <family val="2"/>
          </rPr>
          <t xml:space="preserve">
Feb 10 (for the 25?) from Long Beach
1) Reb Eli $1000
2) Moshe &amp; Ahron $1200
3) Ezriel $800</t>
        </r>
      </text>
    </comment>
    <comment ref="I56" authorId="0" shapeId="0" xr:uid="{00000000-0006-0000-0300-00001A000000}">
      <text>
        <r>
          <rPr>
            <b/>
            <sz val="9"/>
            <color indexed="81"/>
            <rFont val="Tahoma"/>
            <family val="2"/>
          </rPr>
          <t>Klal Yisrael:</t>
        </r>
        <r>
          <rPr>
            <sz val="9"/>
            <color indexed="81"/>
            <rFont val="Tahoma"/>
            <family val="2"/>
          </rPr>
          <t xml:space="preserve">
Feb 10 2018
1) $380 - CC on Jan 29
2) $720 ($200 for Reb Noach) - CC on Feb 9.
3) $800 pesach campaign
4) $500 purim
5) $500 Duvi Kaplan
6) $700 I traded on purim
</t>
        </r>
      </text>
    </comment>
    <comment ref="J56" authorId="1" shapeId="0" xr:uid="{00000000-0006-0000-0300-00001B000000}">
      <text>
        <r>
          <rPr>
            <b/>
            <sz val="9"/>
            <color indexed="81"/>
            <rFont val="Tahoma"/>
            <family val="2"/>
          </rPr>
          <t>Stilerman:</t>
        </r>
        <r>
          <rPr>
            <sz val="9"/>
            <color indexed="81"/>
            <rFont val="Tahoma"/>
            <family val="2"/>
          </rPr>
          <t xml:space="preserve">
For YES - though them</t>
        </r>
      </text>
    </comment>
    <comment ref="J57" authorId="2" shapeId="0" xr:uid="{00000000-0006-0000-0300-00001C000000}">
      <text>
        <r>
          <rPr>
            <b/>
            <sz val="9"/>
            <color indexed="81"/>
            <rFont val="Tahoma"/>
            <family val="2"/>
          </rPr>
          <t>stilerman:</t>
        </r>
        <r>
          <rPr>
            <sz val="9"/>
            <color indexed="81"/>
            <rFont val="Tahoma"/>
            <family val="2"/>
          </rPr>
          <t xml:space="preserve">
1) for Reb EM
2) For Reb Em 100 (&amp; for Reb C. 100 - see below)</t>
        </r>
      </text>
    </comment>
    <comment ref="H58" authorId="1" shapeId="0" xr:uid="{00000000-0006-0000-0300-00001D000000}">
      <text>
        <r>
          <rPr>
            <b/>
            <sz val="9"/>
            <color indexed="81"/>
            <rFont val="Tahoma"/>
            <family val="2"/>
          </rPr>
          <t>Stilerman:</t>
        </r>
        <r>
          <rPr>
            <sz val="9"/>
            <color indexed="81"/>
            <rFont val="Tahoma"/>
            <family val="2"/>
          </rPr>
          <t xml:space="preserve">
1) For Wedding</t>
        </r>
      </text>
    </comment>
    <comment ref="F60" authorId="0" shapeId="0" xr:uid="{5AD6AF9B-4722-4F7D-A862-4170EF0DE36B}">
      <text>
        <r>
          <rPr>
            <b/>
            <sz val="9"/>
            <color indexed="81"/>
            <rFont val="Tahoma"/>
            <family val="2"/>
          </rPr>
          <t>Klal Yisrael:</t>
        </r>
        <r>
          <rPr>
            <sz val="9"/>
            <color indexed="81"/>
            <rFont val="Tahoma"/>
            <family val="2"/>
          </rPr>
          <t xml:space="preserve">
1) For Friends Chasunah</t>
        </r>
      </text>
    </comment>
    <comment ref="H61" authorId="1" shapeId="0" xr:uid="{00000000-0006-0000-0300-00001E000000}">
      <text>
        <r>
          <rPr>
            <b/>
            <sz val="9"/>
            <color indexed="81"/>
            <rFont val="Tahoma"/>
            <family val="2"/>
          </rPr>
          <t>Stilerman:</t>
        </r>
        <r>
          <rPr>
            <sz val="9"/>
            <color indexed="81"/>
            <rFont val="Tahoma"/>
            <family val="2"/>
          </rPr>
          <t xml:space="preserve">
1) Reb Mordechai</t>
        </r>
      </text>
    </comment>
    <comment ref="F62" authorId="0" shapeId="0" xr:uid="{5FE94C4C-1DEB-433E-8A1D-3E98ED8C020B}">
      <text>
        <r>
          <rPr>
            <b/>
            <sz val="9"/>
            <color indexed="81"/>
            <rFont val="Tahoma"/>
            <family val="2"/>
          </rPr>
          <t>Klal Yisrael:</t>
        </r>
        <r>
          <rPr>
            <sz val="9"/>
            <color indexed="81"/>
            <rFont val="Tahoma"/>
            <family val="2"/>
          </rPr>
          <t xml:space="preserve">
חתונה</t>
        </r>
      </text>
    </comment>
    <comment ref="D63" authorId="0" shapeId="0" xr:uid="{5C6DFE66-95DE-414B-9390-66533448664D}">
      <text>
        <r>
          <rPr>
            <b/>
            <sz val="9"/>
            <color indexed="81"/>
            <rFont val="Tahoma"/>
            <family val="2"/>
          </rPr>
          <t>Klal Yisrael:</t>
        </r>
        <r>
          <rPr>
            <sz val="9"/>
            <color indexed="81"/>
            <rFont val="Tahoma"/>
            <family val="2"/>
          </rPr>
          <t xml:space="preserve">
1) For Reb Eli</t>
        </r>
      </text>
    </comment>
    <comment ref="D64" authorId="0" shapeId="0" xr:uid="{09D77C28-6E1E-486C-9367-70636A693E48}">
      <text>
        <r>
          <rPr>
            <b/>
            <sz val="9"/>
            <color indexed="81"/>
            <rFont val="Tahoma"/>
            <family val="2"/>
          </rPr>
          <t>Klal Yisrael:</t>
        </r>
        <r>
          <rPr>
            <sz val="9"/>
            <color indexed="81"/>
            <rFont val="Tahoma"/>
            <family val="2"/>
          </rPr>
          <t xml:space="preserve">
Pesach</t>
        </r>
      </text>
    </comment>
    <comment ref="H64" authorId="0" shapeId="0" xr:uid="{00000000-0006-0000-0300-00001F000000}">
      <text>
        <r>
          <rPr>
            <b/>
            <sz val="9"/>
            <color indexed="81"/>
            <rFont val="Tahoma"/>
            <family val="2"/>
          </rPr>
          <t>Klal Yisrael:</t>
        </r>
        <r>
          <rPr>
            <sz val="9"/>
            <color indexed="81"/>
            <rFont val="Tahoma"/>
            <family val="2"/>
          </rPr>
          <t xml:space="preserve">
1) For Reb Yitz - Gave cash before Pesach, see campagn. I paid for it there. 
2) Therefore it is credited to me
3) 100 pounds for Sucas through Yad Eliezer</t>
        </r>
      </text>
    </comment>
    <comment ref="C65" authorId="1" shapeId="0" xr:uid="{142EE598-E54A-4C36-A277-57CC6C1897C1}">
      <text>
        <r>
          <rPr>
            <b/>
            <sz val="9"/>
            <color indexed="81"/>
            <rFont val="Tahoma"/>
            <family val="2"/>
          </rPr>
          <t>Stilerman:</t>
        </r>
        <r>
          <rPr>
            <sz val="9"/>
            <color indexed="81"/>
            <rFont val="Tahoma"/>
            <family val="2"/>
          </rPr>
          <t xml:space="preserve">
I thought $25 monthly.
They tell me $36 monthly</t>
        </r>
      </text>
    </comment>
    <comment ref="D65" authorId="1" shapeId="0" xr:uid="{05C61E00-8169-48B6-827C-5FB2BDAB4313}">
      <text>
        <r>
          <rPr>
            <b/>
            <sz val="9"/>
            <color indexed="81"/>
            <rFont val="Tahoma"/>
            <family val="2"/>
          </rPr>
          <t>Stilerman:</t>
        </r>
      </text>
    </comment>
    <comment ref="G65" authorId="0" shapeId="0" xr:uid="{2B8F1043-AA3F-4E0A-A870-4111CBE658AE}">
      <text>
        <r>
          <rPr>
            <b/>
            <sz val="9"/>
            <color indexed="81"/>
            <rFont val="Tahoma"/>
            <family val="2"/>
          </rPr>
          <t>Klal Yisrael:</t>
        </r>
        <r>
          <rPr>
            <sz val="9"/>
            <color indexed="81"/>
            <rFont val="Tahoma"/>
            <family val="2"/>
          </rPr>
          <t xml:space="preserve">
2) $180 - Pesach (Baum)</t>
        </r>
      </text>
    </comment>
    <comment ref="I65" authorId="0" shapeId="0" xr:uid="{A3577BA5-06B7-4672-945D-E53A21827E1D}">
      <text>
        <r>
          <rPr>
            <b/>
            <sz val="9"/>
            <color indexed="81"/>
            <rFont val="Tahoma"/>
            <family val="2"/>
          </rPr>
          <t>Klal Yisrael:</t>
        </r>
        <r>
          <rPr>
            <sz val="9"/>
            <color indexed="81"/>
            <rFont val="Tahoma"/>
            <family val="2"/>
          </rPr>
          <t xml:space="preserve">
2) $180 - by chanukah</t>
        </r>
      </text>
    </comment>
    <comment ref="D66" authorId="0" shapeId="0" xr:uid="{0B5AC883-9064-4AA8-88CE-15E6A1B9CBA0}">
      <text>
        <r>
          <rPr>
            <b/>
            <sz val="9"/>
            <color indexed="81"/>
            <rFont val="Tahoma"/>
            <family val="2"/>
          </rPr>
          <t>Klal Yisrael:</t>
        </r>
        <r>
          <rPr>
            <sz val="9"/>
            <color indexed="81"/>
            <rFont val="Tahoma"/>
            <family val="2"/>
          </rPr>
          <t xml:space="preserve">
Martin Kahan
1) $75 - March 23</t>
        </r>
      </text>
    </comment>
    <comment ref="F66" authorId="0" shapeId="0" xr:uid="{2971DC68-7C19-4ED5-B0F0-7011065C3556}">
      <text>
        <r>
          <rPr>
            <b/>
            <sz val="9"/>
            <color indexed="81"/>
            <rFont val="Tahoma"/>
            <family val="2"/>
          </rPr>
          <t>Klal Yisrael:</t>
        </r>
        <r>
          <rPr>
            <sz val="9"/>
            <color indexed="81"/>
            <rFont val="Tahoma"/>
            <family val="2"/>
          </rPr>
          <t xml:space="preserve">
Martin Kahan
1) $300 - Feb 24
2) $100 - March 19
3) $100 - March 24
4) $100 - April 8
5) $101 - April 11, Shelby
6) $130 - April 16
7) $100 - May 5
8) $200 - May 16, Lefkowitz
9) $25 - May 22 , Avi Bader
10) $100 - June 23</t>
        </r>
      </text>
    </comment>
    <comment ref="H66" authorId="0" shapeId="0" xr:uid="{00000000-0006-0000-0300-000020000000}">
      <text>
        <r>
          <rPr>
            <b/>
            <sz val="9"/>
            <color indexed="81"/>
            <rFont val="Tahoma"/>
            <family val="2"/>
          </rPr>
          <t>Klal Yisrael:</t>
        </r>
        <r>
          <rPr>
            <sz val="9"/>
            <color indexed="81"/>
            <rFont val="Tahoma"/>
            <family val="2"/>
          </rPr>
          <t xml:space="preserve">
Martin Kahan
1) $500 - Jan 26
2) $400 - Feb 7
3) $500 - March 29
4) $200 June 6
5) $200 July 15
6) $150 - August 7
7) $150 - August 20
8) $150 - Sep 9
9) $100 - Nov 11
10) $150 - Dec 5</t>
        </r>
      </text>
    </comment>
    <comment ref="C67" authorId="0" shapeId="0" xr:uid="{F4F6830E-0D22-4C66-83DB-016AE91ABEEB}">
      <text>
        <r>
          <rPr>
            <b/>
            <sz val="9"/>
            <color indexed="81"/>
            <rFont val="Tahoma"/>
            <family val="2"/>
          </rPr>
          <t>Klal Yisrael:</t>
        </r>
        <r>
          <rPr>
            <sz val="9"/>
            <color indexed="81"/>
            <rFont val="Tahoma"/>
            <family val="2"/>
          </rPr>
          <t xml:space="preserve">
1) $50 on web campaign - Jan 12</t>
        </r>
      </text>
    </comment>
    <comment ref="F67" authorId="0" shapeId="0" xr:uid="{BBFF7529-21E8-4D2F-85D7-938C142B2551}">
      <text>
        <r>
          <rPr>
            <b/>
            <sz val="9"/>
            <color indexed="81"/>
            <rFont val="Tahoma"/>
            <family val="2"/>
          </rPr>
          <t>Klal Yisrael:</t>
        </r>
        <r>
          <rPr>
            <sz val="9"/>
            <color indexed="81"/>
            <rFont val="Tahoma"/>
            <family val="2"/>
          </rPr>
          <t xml:space="preserve">
2) Meir Chasuna
3) Tamus [7/10] - Stom</t>
        </r>
      </text>
    </comment>
    <comment ref="C68" authorId="1" shapeId="0" xr:uid="{863793B2-C3CE-4610-B9E9-9C45A9F46080}">
      <text>
        <r>
          <rPr>
            <b/>
            <sz val="9"/>
            <color indexed="81"/>
            <rFont val="Tahoma"/>
            <family val="2"/>
          </rPr>
          <t>Stilerman:</t>
        </r>
        <r>
          <rPr>
            <sz val="9"/>
            <color indexed="81"/>
            <rFont val="Tahoma"/>
            <family val="2"/>
          </rPr>
          <t xml:space="preserve">
He gave for mesiba - that I bought (switched), that I owed Ezras</t>
        </r>
      </text>
    </comment>
    <comment ref="F69" authorId="0" shapeId="0" xr:uid="{2A0CC5AC-55BB-40AD-92A5-6B93E1FB861B}">
      <text>
        <r>
          <rPr>
            <b/>
            <sz val="9"/>
            <color indexed="81"/>
            <rFont val="Tahoma"/>
            <family val="2"/>
          </rPr>
          <t>Klal Yisrael:</t>
        </r>
        <r>
          <rPr>
            <sz val="9"/>
            <color indexed="81"/>
            <rFont val="Tahoma"/>
            <family val="2"/>
          </rPr>
          <t xml:space="preserve">
1) For Reb Avrohom Bamberger - for pesach
2) $500 - August 5, For Av
3) $500 - Sept 10, For Elul</t>
        </r>
      </text>
    </comment>
    <comment ref="H69" authorId="0" shapeId="0" xr:uid="{00000000-0006-0000-0300-000021000000}">
      <text>
        <r>
          <rPr>
            <b/>
            <sz val="9"/>
            <color indexed="81"/>
            <rFont val="Tahoma"/>
            <family val="2"/>
          </rPr>
          <t>Klal Yisrael:</t>
        </r>
        <r>
          <rPr>
            <sz val="9"/>
            <color indexed="81"/>
            <rFont val="Tahoma"/>
            <family val="2"/>
          </rPr>
          <t xml:space="preserve">
For Reb Avrohom Bamberger</t>
        </r>
      </text>
    </comment>
    <comment ref="F70" authorId="0" shapeId="0" xr:uid="{AB22BFF4-D3C7-4B2A-A7C0-1C15EC79647B}">
      <text>
        <r>
          <rPr>
            <b/>
            <sz val="9"/>
            <color indexed="81"/>
            <rFont val="Tahoma"/>
            <family val="2"/>
          </rPr>
          <t>Klal Yisrael:</t>
        </r>
        <r>
          <rPr>
            <sz val="9"/>
            <color indexed="81"/>
            <rFont val="Tahoma"/>
            <family val="2"/>
          </rPr>
          <t xml:space="preserve">
1) $150 For Meir חתונה
2) $250 (60, Purim. $190, pesach)
3) $500 For Reb Yitzchok, Elul</t>
        </r>
      </text>
    </comment>
    <comment ref="F71" authorId="0" shapeId="0" xr:uid="{DE9118D8-DA4F-4B73-B377-96BCCCB16D8C}">
      <text>
        <r>
          <rPr>
            <b/>
            <sz val="9"/>
            <color indexed="81"/>
            <rFont val="Tahoma"/>
            <family val="2"/>
          </rPr>
          <t>Klal Yisrael:</t>
        </r>
        <r>
          <rPr>
            <sz val="9"/>
            <color indexed="81"/>
            <rFont val="Tahoma"/>
            <family val="2"/>
          </rPr>
          <t xml:space="preserve">
For Meir חתונה</t>
        </r>
      </text>
    </comment>
    <comment ref="H71" authorId="0" shapeId="0" xr:uid="{00000000-0006-0000-0300-000022000000}">
      <text>
        <r>
          <rPr>
            <b/>
            <sz val="9"/>
            <color indexed="81"/>
            <rFont val="Tahoma"/>
            <family val="2"/>
          </rPr>
          <t>Klal Yisrael:</t>
        </r>
        <r>
          <rPr>
            <sz val="9"/>
            <color indexed="81"/>
            <rFont val="Tahoma"/>
            <family val="2"/>
          </rPr>
          <t xml:space="preserve">
1) 500 CAD - פסח</t>
        </r>
      </text>
    </comment>
    <comment ref="B73" authorId="0" shapeId="0" xr:uid="{FCF853E0-1C03-4E77-ABCF-F33BEDC3AE1E}">
      <text>
        <r>
          <rPr>
            <b/>
            <sz val="9"/>
            <color indexed="81"/>
            <rFont val="Tahoma"/>
            <family val="2"/>
          </rPr>
          <t>Klal Yisrael:</t>
        </r>
        <r>
          <rPr>
            <sz val="9"/>
            <color indexed="81"/>
            <rFont val="Tahoma"/>
            <family val="2"/>
          </rPr>
          <t xml:space="preserve">
</t>
        </r>
      </text>
    </comment>
    <comment ref="F74" authorId="0" shapeId="0" xr:uid="{B81B55EA-3681-4B52-AB43-B587B8C2F861}">
      <text>
        <r>
          <rPr>
            <b/>
            <sz val="9"/>
            <color indexed="81"/>
            <rFont val="Tahoma"/>
            <family val="2"/>
          </rPr>
          <t>Klal Yisrael:</t>
        </r>
        <r>
          <rPr>
            <sz val="9"/>
            <color indexed="81"/>
            <rFont val="Tahoma"/>
            <family val="2"/>
          </rPr>
          <t xml:space="preserve">
1) $1000 For Reb Yitzchok, Elul</t>
        </r>
      </text>
    </comment>
    <comment ref="I75" authorId="0" shapeId="0" xr:uid="{00000000-0006-0000-0300-000023000000}">
      <text>
        <r>
          <rPr>
            <b/>
            <sz val="9"/>
            <color indexed="81"/>
            <rFont val="Tahoma"/>
            <family val="2"/>
          </rPr>
          <t>Klal Yisrael:</t>
        </r>
        <r>
          <rPr>
            <sz val="9"/>
            <color indexed="81"/>
            <rFont val="Tahoma"/>
            <family val="2"/>
          </rPr>
          <t xml:space="preserve">
ראש חודש סיון - בשביל דוב הקר</t>
        </r>
      </text>
    </comment>
    <comment ref="H76" authorId="1" shapeId="0" xr:uid="{F07FFD9B-1415-44B7-8AED-DCA45E21C1E9}">
      <text>
        <r>
          <rPr>
            <b/>
            <sz val="9"/>
            <color indexed="81"/>
            <rFont val="Tahoma"/>
            <family val="2"/>
          </rPr>
          <t>Stilerman:</t>
        </r>
        <r>
          <rPr>
            <sz val="9"/>
            <color indexed="81"/>
            <rFont val="Tahoma"/>
            <family val="2"/>
          </rPr>
          <t xml:space="preserve">
1) For Second Wedding</t>
        </r>
      </text>
    </comment>
    <comment ref="F78" authorId="0" shapeId="0" xr:uid="{21803D79-A78F-4874-8E6D-A9076898AF99}">
      <text>
        <r>
          <rPr>
            <b/>
            <sz val="9"/>
            <color indexed="81"/>
            <rFont val="Tahoma"/>
            <family val="2"/>
          </rPr>
          <t>Klal Yisrael:</t>
        </r>
        <r>
          <rPr>
            <sz val="9"/>
            <color indexed="81"/>
            <rFont val="Tahoma"/>
            <family val="2"/>
          </rPr>
          <t xml:space="preserve">
1) For Meir חתונה
2) Pesach
3) Sucas</t>
        </r>
      </text>
    </comment>
    <comment ref="H79" authorId="1" shapeId="0" xr:uid="{00000000-0006-0000-0300-000024000000}">
      <text>
        <r>
          <rPr>
            <b/>
            <sz val="9"/>
            <color indexed="81"/>
            <rFont val="Tahoma"/>
            <family val="2"/>
          </rPr>
          <t>Stilerman:</t>
        </r>
        <r>
          <rPr>
            <sz val="9"/>
            <color indexed="81"/>
            <rFont val="Tahoma"/>
            <family val="2"/>
          </rPr>
          <t xml:space="preserve">
1) Succas</t>
        </r>
      </text>
    </comment>
    <comment ref="C82" authorId="0" shapeId="0" xr:uid="{A824A871-9125-4674-8972-7503C0BEED90}">
      <text>
        <r>
          <rPr>
            <b/>
            <sz val="9"/>
            <color indexed="81"/>
            <rFont val="Tahoma"/>
            <family val="2"/>
          </rPr>
          <t>Klal Yisrael:</t>
        </r>
        <r>
          <rPr>
            <sz val="9"/>
            <color indexed="81"/>
            <rFont val="Tahoma"/>
            <family val="2"/>
          </rPr>
          <t xml:space="preserve">
1) $683 on his web page - Jan 12</t>
        </r>
      </text>
    </comment>
    <comment ref="F83" authorId="0" shapeId="0" xr:uid="{E7DF735B-DE72-4E50-930E-0BC78CA41467}">
      <text>
        <r>
          <rPr>
            <b/>
            <sz val="9"/>
            <color indexed="81"/>
            <rFont val="Tahoma"/>
            <family val="2"/>
          </rPr>
          <t>Klal Yisrael:</t>
        </r>
        <r>
          <rPr>
            <sz val="9"/>
            <color indexed="81"/>
            <rFont val="Tahoma"/>
            <family val="2"/>
          </rPr>
          <t xml:space="preserve">
For Meir חתונה</t>
        </r>
      </text>
    </comment>
    <comment ref="H84" authorId="1" shapeId="0" xr:uid="{00000000-0006-0000-0300-000025000000}">
      <text>
        <r>
          <rPr>
            <b/>
            <sz val="9"/>
            <color indexed="81"/>
            <rFont val="Tahoma"/>
            <family val="2"/>
          </rPr>
          <t>Stilerman:</t>
        </r>
        <r>
          <rPr>
            <sz val="9"/>
            <color indexed="81"/>
            <rFont val="Tahoma"/>
            <family val="2"/>
          </rPr>
          <t xml:space="preserve">
1) For Wedding</t>
        </r>
      </text>
    </comment>
    <comment ref="F85" authorId="1" shapeId="0" xr:uid="{E9A16EEF-6CFE-4355-8F0C-FED451203DC0}">
      <text>
        <r>
          <rPr>
            <b/>
            <sz val="9"/>
            <color indexed="81"/>
            <rFont val="Tahoma"/>
            <family val="2"/>
          </rPr>
          <t>Stilerman:</t>
        </r>
        <r>
          <rPr>
            <sz val="9"/>
            <color indexed="81"/>
            <rFont val="Tahoma"/>
            <family val="2"/>
          </rPr>
          <t xml:space="preserve">
1) For Rabbi Caplon - Pesach
2) For Rabbi Caplon - During Elul</t>
        </r>
      </text>
    </comment>
    <comment ref="K86" authorId="1" shapeId="0" xr:uid="{00000000-0006-0000-0300-000026000000}">
      <text>
        <r>
          <rPr>
            <b/>
            <sz val="9"/>
            <color indexed="81"/>
            <rFont val="Tahoma"/>
            <family val="2"/>
          </rPr>
          <t>Stilerman:</t>
        </r>
        <r>
          <rPr>
            <sz val="9"/>
            <color indexed="81"/>
            <rFont val="Tahoma"/>
            <family val="2"/>
          </rPr>
          <t xml:space="preserve">
10 pounds
</t>
        </r>
      </text>
    </comment>
    <comment ref="F87" authorId="0" shapeId="0" xr:uid="{14063CCD-A1CA-4EF8-856D-41038F74182E}">
      <text>
        <r>
          <rPr>
            <b/>
            <sz val="9"/>
            <color indexed="81"/>
            <rFont val="Tahoma"/>
            <family val="2"/>
          </rPr>
          <t>Klal Yisrael:</t>
        </r>
        <r>
          <rPr>
            <sz val="9"/>
            <color indexed="81"/>
            <rFont val="Tahoma"/>
            <family val="2"/>
          </rPr>
          <t xml:space="preserve">
1) For Friends Chasunah</t>
        </r>
      </text>
    </comment>
    <comment ref="F88" authorId="0" shapeId="0" xr:uid="{A604EEF1-2314-4A77-B6B8-2FB6F76F3D35}">
      <text>
        <r>
          <rPr>
            <b/>
            <sz val="9"/>
            <color indexed="81"/>
            <rFont val="Tahoma"/>
            <family val="2"/>
          </rPr>
          <t>Klal Yisrael:</t>
        </r>
        <r>
          <rPr>
            <sz val="9"/>
            <color indexed="81"/>
            <rFont val="Tahoma"/>
            <family val="2"/>
          </rPr>
          <t xml:space="preserve">
For Meir חתונה</t>
        </r>
      </text>
    </comment>
    <comment ref="F89" authorId="0" shapeId="0" xr:uid="{9B6BED73-6F06-4010-9E95-EFFF6CAE68DC}">
      <text>
        <r>
          <rPr>
            <b/>
            <sz val="9"/>
            <color indexed="81"/>
            <rFont val="Tahoma"/>
            <family val="2"/>
          </rPr>
          <t>Klal Yisrael:</t>
        </r>
        <r>
          <rPr>
            <sz val="9"/>
            <color indexed="81"/>
            <rFont val="Tahoma"/>
            <family val="2"/>
          </rPr>
          <t xml:space="preserve">
1) For Friends Chasunah</t>
        </r>
      </text>
    </comment>
    <comment ref="C90" authorId="0" shapeId="0" xr:uid="{29D61F2F-8653-4AA1-B3FD-AD55CC36CE08}">
      <text>
        <r>
          <rPr>
            <b/>
            <sz val="9"/>
            <color indexed="81"/>
            <rFont val="Tahoma"/>
            <family val="2"/>
          </rPr>
          <t>Klal Yisrael:</t>
        </r>
        <r>
          <rPr>
            <sz val="9"/>
            <color indexed="81"/>
            <rFont val="Tahoma"/>
            <family val="2"/>
          </rPr>
          <t xml:space="preserve">
1) Jan 18
2) Jan 28
3) March 7
4) March 9
5) April 3
6) May 31
7) Before ראש השנה</t>
        </r>
      </text>
    </comment>
    <comment ref="D90" authorId="0" shapeId="0" xr:uid="{A5B3E3F7-161C-4B29-B066-483367708E0C}">
      <text>
        <r>
          <rPr>
            <b/>
            <sz val="9"/>
            <color indexed="81"/>
            <rFont val="Tahoma"/>
            <family val="2"/>
          </rPr>
          <t>Klal Yisrael:</t>
        </r>
        <r>
          <rPr>
            <sz val="9"/>
            <color indexed="81"/>
            <rFont val="Tahoma"/>
            <family val="2"/>
          </rPr>
          <t xml:space="preserve">
1) Feb 13
2) March 4
3) April 21 90+10
4) May 15
5) June 3
6) June 18 - for 3 months</t>
        </r>
      </text>
    </comment>
    <comment ref="F90" authorId="0" shapeId="0" xr:uid="{B2078E07-E426-48F2-B637-67763BB1979C}">
      <text>
        <r>
          <rPr>
            <b/>
            <sz val="9"/>
            <color indexed="81"/>
            <rFont val="Tahoma"/>
            <family val="2"/>
          </rPr>
          <t>Klal Yisrael:</t>
        </r>
        <r>
          <rPr>
            <sz val="9"/>
            <color indexed="81"/>
            <rFont val="Tahoma"/>
            <family val="2"/>
          </rPr>
          <t xml:space="preserve">
1) $200 - Feb, March
2) $100 (64+36) - March 28
3) $500 - Yom Tov
4) $100 May 2 (39.79+60.21)
5) $100 June 10
6) $100 July 7
7) $100 August 4
8) $100 Sept 8
9) $100 Oct. 2
10) $500 Succas
11) $100 Nov 3</t>
        </r>
      </text>
    </comment>
    <comment ref="H90" authorId="0" shapeId="0" xr:uid="{45BF06A6-66E0-4C3A-9D71-C5B4C07D4D99}">
      <text>
        <r>
          <rPr>
            <b/>
            <sz val="9"/>
            <color indexed="81"/>
            <rFont val="Tahoma"/>
            <family val="2"/>
          </rPr>
          <t>Klal Yisrael:</t>
        </r>
        <r>
          <rPr>
            <sz val="9"/>
            <color indexed="81"/>
            <rFont val="Tahoma"/>
            <family val="2"/>
          </rPr>
          <t xml:space="preserve">
$300*9 months
$100*3 months
</t>
        </r>
      </text>
    </comment>
    <comment ref="I90" authorId="0" shapeId="0" xr:uid="{00000000-0006-0000-0300-000027000000}">
      <text>
        <r>
          <rPr>
            <b/>
            <sz val="9"/>
            <color indexed="81"/>
            <rFont val="Tahoma"/>
            <family val="2"/>
          </rPr>
          <t>Klal Yisrael:</t>
        </r>
        <r>
          <rPr>
            <sz val="9"/>
            <color indexed="81"/>
            <rFont val="Tahoma"/>
            <family val="2"/>
          </rPr>
          <t xml:space="preserve">
1) For Ita חתונה
2) For Sucas
3) Sucas (2)</t>
        </r>
      </text>
    </comment>
    <comment ref="J90" authorId="1" shapeId="0" xr:uid="{00000000-0006-0000-0300-000028000000}">
      <text>
        <r>
          <rPr>
            <b/>
            <sz val="9"/>
            <color indexed="81"/>
            <rFont val="Tahoma"/>
            <family val="2"/>
          </rPr>
          <t>Stilerman:</t>
        </r>
        <r>
          <rPr>
            <sz val="9"/>
            <color indexed="81"/>
            <rFont val="Tahoma"/>
            <family val="2"/>
          </rPr>
          <t xml:space="preserve">
1) 2 * $500 = 1000
From Reb Yosef Kollel
2) $500 - For Yossi בני חבורה</t>
        </r>
      </text>
    </comment>
    <comment ref="F91" authorId="1" shapeId="0" xr:uid="{0453B773-1E45-4ADD-B76F-5130DB637F7C}">
      <text>
        <r>
          <rPr>
            <b/>
            <sz val="9"/>
            <color indexed="81"/>
            <rFont val="Tahoma"/>
            <family val="2"/>
          </rPr>
          <t>Stilerman:</t>
        </r>
        <r>
          <rPr>
            <sz val="9"/>
            <color indexed="81"/>
            <rFont val="Tahoma"/>
            <family val="2"/>
          </rPr>
          <t xml:space="preserve">
1) Reb Mordechai - for Pesach
</t>
        </r>
      </text>
    </comment>
    <comment ref="H91" authorId="1" shapeId="0" xr:uid="{00000000-0006-0000-0300-000029000000}">
      <text>
        <r>
          <rPr>
            <b/>
            <sz val="9"/>
            <color indexed="81"/>
            <rFont val="Tahoma"/>
            <family val="2"/>
          </rPr>
          <t>Stilerman:</t>
        </r>
        <r>
          <rPr>
            <sz val="9"/>
            <color indexed="81"/>
            <rFont val="Tahoma"/>
            <family val="2"/>
          </rPr>
          <t xml:space="preserve">
1) Reb Mordechai 2nd חתונה.
2) חתונה
3) סוכות תשעט
4) My second חתונה</t>
        </r>
      </text>
    </comment>
    <comment ref="I91" authorId="0" shapeId="0" xr:uid="{4210A7AE-9F44-4CD3-9C37-61EE7A4127A0}">
      <text>
        <r>
          <rPr>
            <b/>
            <sz val="9"/>
            <color indexed="81"/>
            <rFont val="Tahoma"/>
            <family val="2"/>
          </rPr>
          <t>Klal Yisrael: Marmor</t>
        </r>
        <r>
          <rPr>
            <sz val="9"/>
            <color indexed="81"/>
            <rFont val="Tahoma"/>
            <family val="2"/>
          </rPr>
          <t xml:space="preserve">
$300*9 months
$100*3 months
</t>
        </r>
      </text>
    </comment>
    <comment ref="J91" authorId="1" shapeId="0" xr:uid="{00000000-0006-0000-0300-00002A000000}">
      <text>
        <r>
          <rPr>
            <b/>
            <sz val="9"/>
            <color indexed="81"/>
            <rFont val="Tahoma"/>
            <family val="2"/>
          </rPr>
          <t>Stilerman:</t>
        </r>
        <r>
          <rPr>
            <sz val="9"/>
            <color indexed="81"/>
            <rFont val="Tahoma"/>
            <family val="2"/>
          </rPr>
          <t xml:space="preserve">
1) Reb Mordechai
2) plus 1500 for printing (600 by caplon), 900 here</t>
        </r>
      </text>
    </comment>
    <comment ref="H92" authorId="1" shapeId="0" xr:uid="{7F3C661E-6066-458A-85DD-AF023D0F0D58}">
      <text>
        <r>
          <rPr>
            <b/>
            <sz val="9"/>
            <color indexed="81"/>
            <rFont val="Tahoma"/>
            <family val="2"/>
          </rPr>
          <t>Stilerman:</t>
        </r>
        <r>
          <rPr>
            <sz val="9"/>
            <color indexed="81"/>
            <rFont val="Tahoma"/>
            <family val="2"/>
          </rPr>
          <t xml:space="preserve">
1) For Second Wedding</t>
        </r>
      </text>
    </comment>
    <comment ref="F93" authorId="0" shapeId="0" xr:uid="{7A5776D7-F44C-47D6-9D31-CAE70873EF7D}">
      <text>
        <r>
          <rPr>
            <b/>
            <sz val="9"/>
            <color indexed="81"/>
            <rFont val="Tahoma"/>
            <family val="2"/>
          </rPr>
          <t>Klal Yisrael:</t>
        </r>
        <r>
          <rPr>
            <sz val="9"/>
            <color indexed="81"/>
            <rFont val="Tahoma"/>
            <family val="2"/>
          </rPr>
          <t xml:space="preserve">
1) 300 - 1-13-19
2) 300 - 2-17-19
3) 400 - 3-10-19
4) 500 - 4-8-19
5) 1000 - 5-7-19
6) 500 - August 7
7) 500 - August 16
8) 500 - Sept 8
9) 500 - Oct 22
10) 360 - Oct 22 for Bamberger
</t>
        </r>
      </text>
    </comment>
    <comment ref="H93" authorId="0" shapeId="0" xr:uid="{7F20D182-1CE6-49D7-9505-C422775B5AA2}">
      <text>
        <r>
          <rPr>
            <b/>
            <sz val="9"/>
            <color indexed="81"/>
            <rFont val="Tahoma"/>
            <family val="2"/>
          </rPr>
          <t>Klal Yisrael:</t>
        </r>
        <r>
          <rPr>
            <sz val="9"/>
            <color indexed="81"/>
            <rFont val="Tahoma"/>
            <family val="2"/>
          </rPr>
          <t xml:space="preserve">
1) 100 - משניות
2) 200 - גמרא, משניות
1-13-19</t>
        </r>
      </text>
    </comment>
    <comment ref="F94" authorId="0" shapeId="0" xr:uid="{D7F94E9C-5530-4E78-BC48-CFEBDFC4D19C}">
      <text>
        <r>
          <rPr>
            <b/>
            <sz val="9"/>
            <color indexed="81"/>
            <rFont val="Tahoma"/>
            <family val="2"/>
          </rPr>
          <t>Klal Yisrael:</t>
        </r>
        <r>
          <rPr>
            <sz val="9"/>
            <color indexed="81"/>
            <rFont val="Tahoma"/>
            <family val="2"/>
          </rPr>
          <t xml:space="preserve">
1) For Friends Chasunah</t>
        </r>
      </text>
    </comment>
    <comment ref="F95" authorId="0" shapeId="0" xr:uid="{6D89DBFA-F401-4ED1-922A-370B37E9B0A6}">
      <text>
        <r>
          <rPr>
            <b/>
            <sz val="9"/>
            <color indexed="81"/>
            <rFont val="Tahoma"/>
            <family val="2"/>
          </rPr>
          <t>Klal Yisrael:</t>
        </r>
        <r>
          <rPr>
            <sz val="9"/>
            <color indexed="81"/>
            <rFont val="Tahoma"/>
            <family val="2"/>
          </rPr>
          <t xml:space="preserve">
Beis Ariel</t>
        </r>
      </text>
    </comment>
    <comment ref="F97" authorId="0" shapeId="0" xr:uid="{C0A9A9C1-E4A5-4EA1-8791-6BFFDA10B7C2}">
      <text>
        <r>
          <rPr>
            <b/>
            <sz val="9"/>
            <color indexed="81"/>
            <rFont val="Tahoma"/>
            <family val="2"/>
          </rPr>
          <t>Klal Yisrael:</t>
        </r>
        <r>
          <rPr>
            <sz val="9"/>
            <color indexed="81"/>
            <rFont val="Tahoma"/>
            <family val="2"/>
          </rPr>
          <t xml:space="preserve">
For Meir חתונה</t>
        </r>
      </text>
    </comment>
    <comment ref="H98" authorId="1" shapeId="0" xr:uid="{00000000-0006-0000-0300-00002B000000}">
      <text>
        <r>
          <rPr>
            <b/>
            <sz val="9"/>
            <color indexed="81"/>
            <rFont val="Tahoma"/>
            <family val="2"/>
          </rPr>
          <t>Stilerman:</t>
        </r>
        <r>
          <rPr>
            <sz val="9"/>
            <color indexed="81"/>
            <rFont val="Tahoma"/>
            <family val="2"/>
          </rPr>
          <t xml:space="preserve">
Yad Eliezer - עזרת אחים 
1) 60 pounds (דור המלקטים)
360 pounds (for Pesach) = about $480
250 pounds (חתונה 1)
Total: 670. Approx: $900</t>
        </r>
      </text>
    </comment>
    <comment ref="J98" authorId="1" shapeId="0" xr:uid="{00000000-0006-0000-0300-00002C000000}">
      <text>
        <r>
          <rPr>
            <b/>
            <sz val="9"/>
            <color indexed="81"/>
            <rFont val="Tahoma"/>
            <family val="2"/>
          </rPr>
          <t>Stilerman:</t>
        </r>
        <r>
          <rPr>
            <sz val="9"/>
            <color indexed="81"/>
            <rFont val="Tahoma"/>
            <family val="2"/>
          </rPr>
          <t xml:space="preserve"> for סוכות
pounds</t>
        </r>
      </text>
    </comment>
    <comment ref="K98" authorId="1" shapeId="0" xr:uid="{00000000-0006-0000-0300-00002D000000}">
      <text>
        <r>
          <rPr>
            <b/>
            <sz val="9"/>
            <color indexed="81"/>
            <rFont val="Tahoma"/>
            <family val="2"/>
          </rPr>
          <t xml:space="preserve">Stilerman: </t>
        </r>
        <r>
          <rPr>
            <sz val="9"/>
            <color indexed="81"/>
            <rFont val="Tahoma"/>
            <family val="2"/>
          </rPr>
          <t>For פסח
300 pounds
Apr - $369</t>
        </r>
      </text>
    </comment>
    <comment ref="H99" authorId="0" shapeId="0" xr:uid="{00000000-0006-0000-0300-00002E000000}">
      <text>
        <r>
          <rPr>
            <b/>
            <sz val="9"/>
            <color indexed="81"/>
            <rFont val="Tahoma"/>
            <family val="2"/>
          </rPr>
          <t>Klal Yisrael:</t>
        </r>
        <r>
          <rPr>
            <sz val="9"/>
            <color indexed="81"/>
            <rFont val="Tahoma"/>
            <family val="2"/>
          </rPr>
          <t xml:space="preserve">
1,000 pounds
Ended up not being true</t>
        </r>
      </text>
    </comment>
    <comment ref="C100" authorId="1" shapeId="0" xr:uid="{8265829D-A3AC-40EB-812C-8800DFE9A78F}">
      <text>
        <r>
          <rPr>
            <b/>
            <sz val="9"/>
            <color indexed="81"/>
            <rFont val="Tahoma"/>
            <family val="2"/>
          </rPr>
          <t>Stilerman:</t>
        </r>
        <r>
          <rPr>
            <sz val="9"/>
            <color indexed="81"/>
            <rFont val="Tahoma"/>
            <family val="2"/>
          </rPr>
          <t xml:space="preserve">
He gave for mesiba - that I bought (switched), that I owed Ezras</t>
        </r>
      </text>
    </comment>
    <comment ref="F101" authorId="1" shapeId="0" xr:uid="{78FE2975-0B9B-4167-89A9-917DE5B8AA83}">
      <text>
        <r>
          <rPr>
            <b/>
            <sz val="9"/>
            <color indexed="81"/>
            <rFont val="Tahoma"/>
            <family val="2"/>
          </rPr>
          <t>Stilerman:</t>
        </r>
        <r>
          <rPr>
            <sz val="9"/>
            <color indexed="81"/>
            <rFont val="Tahoma"/>
            <family val="2"/>
          </rPr>
          <t xml:space="preserve">
A receipt from </t>
        </r>
        <r>
          <rPr>
            <b/>
            <u/>
            <sz val="9"/>
            <color indexed="81"/>
            <rFont val="Tahoma"/>
            <family val="2"/>
          </rPr>
          <t>MY</t>
        </r>
        <r>
          <rPr>
            <sz val="9"/>
            <color indexed="81"/>
            <rFont val="Tahoma"/>
            <family val="2"/>
          </rPr>
          <t xml:space="preserve"> CC - for them, through משאת משה - For Baum</t>
        </r>
      </text>
    </comment>
    <comment ref="F103" authorId="1" shapeId="0" xr:uid="{4AC5FA7B-D4C4-4101-BB76-BA203533D83D}">
      <text>
        <r>
          <rPr>
            <b/>
            <sz val="9"/>
            <color indexed="81"/>
            <rFont val="Tahoma"/>
            <family val="2"/>
          </rPr>
          <t>Stilerman:</t>
        </r>
        <r>
          <rPr>
            <sz val="9"/>
            <color indexed="81"/>
            <rFont val="Tahoma"/>
            <family val="2"/>
          </rPr>
          <t xml:space="preserve">
1) 100 - 3/18
2) 100 - 4/10
3) 10*$100</t>
        </r>
      </text>
    </comment>
    <comment ref="H104" authorId="0" shapeId="0" xr:uid="{00000000-0006-0000-0300-00002F000000}">
      <text>
        <r>
          <rPr>
            <b/>
            <sz val="9"/>
            <color indexed="81"/>
            <rFont val="Tahoma"/>
            <family val="2"/>
          </rPr>
          <t>Klal Yisrael:</t>
        </r>
        <r>
          <rPr>
            <sz val="9"/>
            <color indexed="81"/>
            <rFont val="Tahoma"/>
            <family val="2"/>
          </rPr>
          <t xml:space="preserve">
Reb Eli Meyer</t>
        </r>
      </text>
    </comment>
    <comment ref="J105" authorId="1" shapeId="0" xr:uid="{00000000-0006-0000-0300-000030000000}">
      <text>
        <r>
          <rPr>
            <b/>
            <sz val="9"/>
            <color indexed="81"/>
            <rFont val="Tahoma"/>
            <family val="2"/>
          </rPr>
          <t>Stilerman:</t>
        </r>
        <r>
          <rPr>
            <sz val="9"/>
            <color indexed="81"/>
            <rFont val="Tahoma"/>
            <family val="2"/>
          </rPr>
          <t xml:space="preserve">
1) Reb Mordechai</t>
        </r>
      </text>
    </comment>
    <comment ref="F106" authorId="0" shapeId="0" xr:uid="{F151C6E7-B5CF-4D4A-A016-75E3CAC4DEC7}">
      <text>
        <r>
          <rPr>
            <b/>
            <sz val="9"/>
            <color indexed="81"/>
            <rFont val="Tahoma"/>
            <family val="2"/>
          </rPr>
          <t>Klal Yisrael:</t>
        </r>
        <r>
          <rPr>
            <sz val="9"/>
            <color indexed="81"/>
            <rFont val="Tahoma"/>
            <family val="2"/>
          </rPr>
          <t xml:space="preserve">
1) For Friends Chasunah</t>
        </r>
      </text>
    </comment>
    <comment ref="H107" authorId="0" shapeId="0" xr:uid="{429D1EE5-8D48-4419-8FB4-0BAC5D36F770}">
      <text>
        <r>
          <rPr>
            <b/>
            <sz val="9"/>
            <color indexed="81"/>
            <rFont val="Tahoma"/>
            <family val="2"/>
          </rPr>
          <t>Klal Yisrael:</t>
        </r>
        <r>
          <rPr>
            <sz val="9"/>
            <color indexed="81"/>
            <rFont val="Tahoma"/>
            <family val="2"/>
          </rPr>
          <t xml:space="preserve">
I received a $1,000 check - I put it in my account.
Then I gave My CC for $1,000
(The money from Rabbi Marberger - For Yehuda Brickman, and some back)  </t>
        </r>
      </text>
    </comment>
    <comment ref="F108" authorId="0" shapeId="0" xr:uid="{25A4A472-AC4C-4488-BCA6-D92E72B02F57}">
      <text>
        <r>
          <rPr>
            <b/>
            <sz val="9"/>
            <color indexed="81"/>
            <rFont val="Tahoma"/>
            <family val="2"/>
          </rPr>
          <t>Klal Yisrael:</t>
        </r>
        <r>
          <rPr>
            <sz val="9"/>
            <color indexed="81"/>
            <rFont val="Tahoma"/>
            <family val="2"/>
          </rPr>
          <t xml:space="preserve">
1) For Friends Chasunah</t>
        </r>
      </text>
    </comment>
    <comment ref="F109" authorId="0" shapeId="0" xr:uid="{61B9F2D4-BD66-4E9E-B055-010BA09E560B}">
      <text>
        <r>
          <rPr>
            <b/>
            <sz val="9"/>
            <color indexed="81"/>
            <rFont val="Tahoma"/>
            <family val="2"/>
          </rPr>
          <t>Klal Yisrael:</t>
        </r>
        <r>
          <rPr>
            <sz val="9"/>
            <color indexed="81"/>
            <rFont val="Tahoma"/>
            <family val="2"/>
          </rPr>
          <t xml:space="preserve">
1) For Friends Chasunah</t>
        </r>
      </text>
    </comment>
    <comment ref="C110" authorId="0" shapeId="0" xr:uid="{FC0FCCA6-6D20-4FBE-BCEC-783CA99F706A}">
      <text>
        <r>
          <rPr>
            <b/>
            <sz val="9"/>
            <color indexed="81"/>
            <rFont val="Tahoma"/>
            <family val="2"/>
          </rPr>
          <t>Klal Yisrael:</t>
        </r>
        <r>
          <rPr>
            <sz val="9"/>
            <color indexed="81"/>
            <rFont val="Tahoma"/>
            <family val="2"/>
          </rPr>
          <t xml:space="preserve">
1) $1,345 on web campaign - through Aryeh Reichman
(besides Reichman, and Gabioff)
- minus 250 (gave 2 pages)</t>
        </r>
      </text>
    </comment>
    <comment ref="F110" authorId="1" shapeId="0" xr:uid="{6CFF6992-A1DA-46E1-9535-C011E1AECE53}">
      <text>
        <r>
          <rPr>
            <b/>
            <sz val="9"/>
            <color indexed="81"/>
            <rFont val="Tahoma"/>
            <family val="2"/>
          </rPr>
          <t>Stilerman:</t>
        </r>
        <r>
          <rPr>
            <sz val="9"/>
            <color indexed="81"/>
            <rFont val="Tahoma"/>
            <family val="2"/>
          </rPr>
          <t xml:space="preserve">
1) pesach - Sponsor a family, the rest to yossi</t>
        </r>
      </text>
    </comment>
    <comment ref="H110" authorId="1" shapeId="0" xr:uid="{00000000-0006-0000-0300-000031000000}">
      <text>
        <r>
          <rPr>
            <b/>
            <sz val="9"/>
            <color indexed="81"/>
            <rFont val="Tahoma"/>
            <family val="2"/>
          </rPr>
          <t>Stilerman:</t>
        </r>
        <r>
          <rPr>
            <sz val="9"/>
            <color indexed="81"/>
            <rFont val="Tahoma"/>
            <family val="2"/>
          </rPr>
          <t xml:space="preserve">
1) For Wedding
2) Succas</t>
        </r>
      </text>
    </comment>
    <comment ref="C111" authorId="1" shapeId="0" xr:uid="{62BEEDAE-EC99-4C13-8CBD-F97A89E80995}">
      <text>
        <r>
          <rPr>
            <b/>
            <sz val="9"/>
            <color indexed="81"/>
            <rFont val="Tahoma"/>
            <family val="2"/>
          </rPr>
          <t>Stilerman:</t>
        </r>
        <r>
          <rPr>
            <sz val="9"/>
            <color indexed="81"/>
            <rFont val="Tahoma"/>
            <family val="2"/>
          </rPr>
          <t xml:space="preserve">
1) I had 10*12months
2) Web site had $180
Therfore made it 15*10months</t>
        </r>
      </text>
    </comment>
    <comment ref="D112" authorId="0" shapeId="0" xr:uid="{70676017-D4DD-4FDF-AE03-4D2A323959F9}">
      <text>
        <r>
          <rPr>
            <b/>
            <sz val="9"/>
            <color indexed="81"/>
            <rFont val="Tahoma"/>
            <family val="2"/>
          </rPr>
          <t>Klal Yisrael:</t>
        </r>
        <r>
          <rPr>
            <sz val="9"/>
            <color indexed="81"/>
            <rFont val="Tahoma"/>
            <family val="2"/>
          </rPr>
          <t xml:space="preserve">
For סוכת תשפ"א
through yad eliezer (13,600 NIS)</t>
        </r>
      </text>
    </comment>
    <comment ref="H112" authorId="0" shapeId="0" xr:uid="{00000000-0006-0000-0300-000032000000}">
      <text>
        <r>
          <rPr>
            <b/>
            <sz val="9"/>
            <color indexed="81"/>
            <rFont val="Tahoma"/>
            <family val="2"/>
          </rPr>
          <t>Klal Yisrael:</t>
        </r>
        <r>
          <rPr>
            <sz val="9"/>
            <color indexed="81"/>
            <rFont val="Tahoma"/>
            <family val="2"/>
          </rPr>
          <t xml:space="preserve">
For פסח תשעח</t>
        </r>
      </text>
    </comment>
    <comment ref="F113" authorId="0" shapeId="0" xr:uid="{A289DBA1-A01A-4CF0-9D97-5880EC51EA06}">
      <text>
        <r>
          <rPr>
            <b/>
            <sz val="9"/>
            <color indexed="81"/>
            <rFont val="Tahoma"/>
            <family val="2"/>
          </rPr>
          <t>Klal Yisrael:</t>
        </r>
        <r>
          <rPr>
            <sz val="9"/>
            <color indexed="81"/>
            <rFont val="Tahoma"/>
            <family val="2"/>
          </rPr>
          <t xml:space="preserve">
1) For Friends Chasunah</t>
        </r>
      </text>
    </comment>
    <comment ref="F114" authorId="0" shapeId="0" xr:uid="{E6F278F4-0A67-4187-8739-F0A978771654}">
      <text>
        <r>
          <rPr>
            <b/>
            <sz val="9"/>
            <color indexed="81"/>
            <rFont val="Tahoma"/>
            <family val="2"/>
          </rPr>
          <t>Klal Yisrael:</t>
        </r>
        <r>
          <rPr>
            <sz val="9"/>
            <color indexed="81"/>
            <rFont val="Tahoma"/>
            <family val="2"/>
          </rPr>
          <t xml:space="preserve">
For Meir חתונה</t>
        </r>
      </text>
    </comment>
    <comment ref="F115" authorId="0" shapeId="0" xr:uid="{AD86D726-852F-45F7-9F47-C4ACAFA264E9}">
      <text>
        <r>
          <rPr>
            <b/>
            <sz val="9"/>
            <color indexed="81"/>
            <rFont val="Tahoma"/>
            <family val="2"/>
          </rPr>
          <t>Klal Yisrael:</t>
        </r>
        <r>
          <rPr>
            <sz val="9"/>
            <color indexed="81"/>
            <rFont val="Tahoma"/>
            <family val="2"/>
          </rPr>
          <t xml:space="preserve">
For Reb Yitzchok</t>
        </r>
      </text>
    </comment>
    <comment ref="H116" authorId="1" shapeId="0" xr:uid="{00000000-0006-0000-0300-000033000000}">
      <text>
        <r>
          <rPr>
            <b/>
            <sz val="9"/>
            <color indexed="81"/>
            <rFont val="Tahoma"/>
            <family val="2"/>
          </rPr>
          <t>Stilerman:</t>
        </r>
        <r>
          <rPr>
            <sz val="9"/>
            <color indexed="81"/>
            <rFont val="Tahoma"/>
            <family val="2"/>
          </rPr>
          <t xml:space="preserve">
1) For Wedding</t>
        </r>
      </text>
    </comment>
    <comment ref="F117" authorId="0" shapeId="0" xr:uid="{A89FAF97-8845-43C0-A103-C98B6FE9698D}">
      <text>
        <r>
          <rPr>
            <b/>
            <sz val="9"/>
            <color indexed="81"/>
            <rFont val="Tahoma"/>
            <family val="2"/>
          </rPr>
          <t xml:space="preserve">Klal Yisrael:
</t>
        </r>
        <r>
          <rPr>
            <sz val="9"/>
            <color indexed="81"/>
            <rFont val="Tahoma"/>
            <family val="2"/>
          </rPr>
          <t>For Friend, Samon - Through Einstein</t>
        </r>
      </text>
    </comment>
    <comment ref="F118" authorId="0" shapeId="0" xr:uid="{2DAB50CA-984A-4780-8D2F-8DCDA056CB8C}">
      <text>
        <r>
          <rPr>
            <b/>
            <sz val="9"/>
            <color indexed="81"/>
            <rFont val="Tahoma"/>
            <family val="2"/>
          </rPr>
          <t>Klal Yisrael:</t>
        </r>
        <r>
          <rPr>
            <sz val="9"/>
            <color indexed="81"/>
            <rFont val="Tahoma"/>
            <family val="2"/>
          </rPr>
          <t xml:space="preserve">
Not sure who this is</t>
        </r>
      </text>
    </comment>
    <comment ref="H119" authorId="1" shapeId="0" xr:uid="{00000000-0006-0000-0300-000034000000}">
      <text>
        <r>
          <rPr>
            <b/>
            <sz val="9"/>
            <color indexed="81"/>
            <rFont val="Tahoma"/>
            <family val="2"/>
          </rPr>
          <t>Stilerman:</t>
        </r>
        <r>
          <rPr>
            <sz val="9"/>
            <color indexed="81"/>
            <rFont val="Tahoma"/>
            <family val="2"/>
          </rPr>
          <t xml:space="preserve">
1) For Wedding</t>
        </r>
      </text>
    </comment>
    <comment ref="F120" authorId="0" shapeId="0" xr:uid="{8C71FBDA-24FE-477F-B57E-9DE1697A4D7A}">
      <text>
        <r>
          <rPr>
            <b/>
            <sz val="9"/>
            <color indexed="81"/>
            <rFont val="Tahoma"/>
            <family val="2"/>
          </rPr>
          <t>Klal Yisrael:</t>
        </r>
        <r>
          <rPr>
            <sz val="9"/>
            <color indexed="81"/>
            <rFont val="Tahoma"/>
            <family val="2"/>
          </rPr>
          <t xml:space="preserve">
For Meir חתונה</t>
        </r>
      </text>
    </comment>
    <comment ref="I121" authorId="0" shapeId="0" xr:uid="{00000000-0006-0000-0300-000035000000}">
      <text>
        <r>
          <rPr>
            <b/>
            <sz val="9"/>
            <color indexed="81"/>
            <rFont val="Tahoma"/>
            <family val="2"/>
          </rPr>
          <t>Klal Yisrael:</t>
        </r>
        <r>
          <rPr>
            <sz val="9"/>
            <color indexed="81"/>
            <rFont val="Tahoma"/>
            <family val="2"/>
          </rPr>
          <t xml:space="preserve">
י שבט</t>
        </r>
      </text>
    </comment>
    <comment ref="F122" authorId="0" shapeId="0" xr:uid="{F12DD875-D841-4783-B6C4-DCE7623B1C61}">
      <text>
        <r>
          <rPr>
            <b/>
            <sz val="9"/>
            <color indexed="81"/>
            <rFont val="Tahoma"/>
            <family val="2"/>
          </rPr>
          <t>Klal Yisrael:</t>
        </r>
        <r>
          <rPr>
            <sz val="9"/>
            <color indexed="81"/>
            <rFont val="Tahoma"/>
            <family val="2"/>
          </rPr>
          <t xml:space="preserve">
1) For Friends Chasunah</t>
        </r>
      </text>
    </comment>
    <comment ref="F123" authorId="0" shapeId="0" xr:uid="{2A6F4B2F-B468-44CB-AECE-D53A2EB7D454}">
      <text>
        <r>
          <rPr>
            <b/>
            <sz val="9"/>
            <color indexed="81"/>
            <rFont val="Tahoma"/>
            <family val="2"/>
          </rPr>
          <t>Klal Yisrael:</t>
        </r>
        <r>
          <rPr>
            <sz val="9"/>
            <color indexed="81"/>
            <rFont val="Tahoma"/>
            <family val="2"/>
          </rPr>
          <t xml:space="preserve">
For Meir חתונה</t>
        </r>
      </text>
    </comment>
    <comment ref="F124" authorId="0" shapeId="0" xr:uid="{FDBC4F58-84CE-4557-85C1-DC9943D795F0}">
      <text>
        <r>
          <rPr>
            <b/>
            <sz val="9"/>
            <color indexed="81"/>
            <rFont val="Tahoma"/>
            <family val="2"/>
          </rPr>
          <t>Klal Yisrael:</t>
        </r>
        <r>
          <rPr>
            <sz val="9"/>
            <color indexed="81"/>
            <rFont val="Tahoma"/>
            <family val="2"/>
          </rPr>
          <t xml:space="preserve">
For Meir חתונה</t>
        </r>
      </text>
    </comment>
    <comment ref="H125" authorId="0" shapeId="0" xr:uid="{00000000-0006-0000-0300-000036000000}">
      <text>
        <r>
          <rPr>
            <b/>
            <sz val="9"/>
            <color indexed="81"/>
            <rFont val="Tahoma"/>
            <family val="2"/>
          </rPr>
          <t>Klal Yisrael:</t>
        </r>
        <r>
          <rPr>
            <sz val="9"/>
            <color indexed="81"/>
            <rFont val="Tahoma"/>
            <family val="2"/>
          </rPr>
          <t xml:space="preserve">
For Reb Mordechai חתונה</t>
        </r>
      </text>
    </comment>
    <comment ref="C126" authorId="0" shapeId="0" xr:uid="{769F8E1A-ABF0-479B-880C-60F5379B9D17}">
      <text>
        <r>
          <rPr>
            <b/>
            <sz val="9"/>
            <color indexed="81"/>
            <rFont val="Tahoma"/>
            <family val="2"/>
          </rPr>
          <t>Klal Yisrael:</t>
        </r>
        <r>
          <rPr>
            <sz val="9"/>
            <color indexed="81"/>
            <rFont val="Tahoma"/>
            <family val="2"/>
          </rPr>
          <t xml:space="preserve">
Chanukah Mesiba - that I bought out.</t>
        </r>
      </text>
    </comment>
    <comment ref="F126" authorId="0" shapeId="0" xr:uid="{1D820FD2-9C9E-45D9-9ECA-19B3C701A353}">
      <text>
        <r>
          <rPr>
            <b/>
            <sz val="9"/>
            <color indexed="81"/>
            <rFont val="Tahoma"/>
            <family val="2"/>
          </rPr>
          <t>Klal Yisrael:</t>
        </r>
        <r>
          <rPr>
            <sz val="9"/>
            <color indexed="81"/>
            <rFont val="Tahoma"/>
            <family val="2"/>
          </rPr>
          <t xml:space="preserve">
For Meir חתונה</t>
        </r>
      </text>
    </comment>
    <comment ref="F127" authorId="0" shapeId="0" xr:uid="{A11BD681-FC55-4025-9B76-7BB222CED8E1}">
      <text>
        <r>
          <rPr>
            <b/>
            <sz val="9"/>
            <color indexed="81"/>
            <rFont val="Tahoma"/>
            <family val="2"/>
          </rPr>
          <t>Klal Yisrael:</t>
        </r>
        <r>
          <rPr>
            <sz val="9"/>
            <color indexed="81"/>
            <rFont val="Tahoma"/>
            <family val="2"/>
          </rPr>
          <t xml:space="preserve">
1) For Friends Chasunah</t>
        </r>
      </text>
    </comment>
    <comment ref="F129" authorId="0" shapeId="0" xr:uid="{E2830725-AAEA-4281-B460-D2CFE91D25EC}">
      <text>
        <r>
          <rPr>
            <b/>
            <sz val="9"/>
            <color indexed="81"/>
            <rFont val="Tahoma"/>
            <family val="2"/>
          </rPr>
          <t>Klal Yisrael:</t>
        </r>
        <r>
          <rPr>
            <sz val="9"/>
            <color indexed="81"/>
            <rFont val="Tahoma"/>
            <family val="2"/>
          </rPr>
          <t xml:space="preserve">
He said 13 months - stopped at 11 months (I think)</t>
        </r>
      </text>
    </comment>
    <comment ref="A131" authorId="0" shapeId="0" xr:uid="{00000000-0006-0000-0300-000037000000}">
      <text>
        <r>
          <rPr>
            <b/>
            <sz val="9"/>
            <color indexed="81"/>
            <rFont val="Tahoma"/>
            <family val="2"/>
          </rPr>
          <t>Klal Yisrael:</t>
        </r>
        <r>
          <rPr>
            <sz val="9"/>
            <color indexed="81"/>
            <rFont val="Tahoma"/>
            <family val="2"/>
          </rPr>
          <t xml:space="preserve">
Newhouse</t>
        </r>
      </text>
    </comment>
    <comment ref="D131" authorId="0" shapeId="0" xr:uid="{077B3227-4500-45E4-BF51-2EC81847388E}">
      <text>
        <r>
          <rPr>
            <b/>
            <sz val="9"/>
            <color indexed="81"/>
            <rFont val="Tahoma"/>
            <family val="2"/>
          </rPr>
          <t>Klal Yisrael:</t>
        </r>
        <r>
          <rPr>
            <sz val="9"/>
            <color indexed="81"/>
            <rFont val="Tahoma"/>
            <family val="2"/>
          </rPr>
          <t xml:space="preserve">
Shlomo Schwimmer - one month</t>
        </r>
      </text>
    </comment>
    <comment ref="E131" authorId="1" shapeId="0" xr:uid="{00000000-0006-0000-0300-000038000000}">
      <text>
        <r>
          <rPr>
            <b/>
            <sz val="9"/>
            <color indexed="81"/>
            <rFont val="Tahoma"/>
            <family val="2"/>
          </rPr>
          <t>Stilerman</t>
        </r>
        <r>
          <rPr>
            <sz val="9"/>
            <color indexed="81"/>
            <rFont val="Tahoma"/>
            <family val="2"/>
          </rPr>
          <t xml:space="preserve">: Schwimmer
1) Starting june 2018 - for 12 months
2) another 12 months
(six months 2019 - six months 2020) </t>
        </r>
      </text>
    </comment>
    <comment ref="H131" authorId="0" shapeId="0" xr:uid="{00000000-0006-0000-0300-000039000000}">
      <text>
        <r>
          <rPr>
            <b/>
            <sz val="9"/>
            <color indexed="81"/>
            <rFont val="Tahoma"/>
            <family val="2"/>
          </rPr>
          <t>Klal Yisrael:</t>
        </r>
        <r>
          <rPr>
            <sz val="9"/>
            <color indexed="81"/>
            <rFont val="Tahoma"/>
            <family val="2"/>
          </rPr>
          <t xml:space="preserve">
Schwimmer 
1) purim
2) For wedding - $1,000</t>
        </r>
      </text>
    </comment>
    <comment ref="I131" authorId="2" shapeId="0" xr:uid="{00000000-0006-0000-0300-00003A000000}">
      <text>
        <r>
          <rPr>
            <b/>
            <sz val="9"/>
            <color indexed="81"/>
            <rFont val="Tahoma"/>
            <family val="2"/>
          </rPr>
          <t>stilerman:</t>
        </r>
        <r>
          <rPr>
            <sz val="9"/>
            <color indexed="81"/>
            <rFont val="Tahoma"/>
            <family val="2"/>
          </rPr>
          <t xml:space="preserve">
For MSS
1) Besides 610 for פורים.
2) 1000 - אייר.
3) Elul: $2,650 + 7,380₪ 
However - they did not get it [#3]. I exchanged it with them</t>
        </r>
      </text>
    </comment>
    <comment ref="K131" authorId="2" shapeId="0" xr:uid="{00000000-0006-0000-0300-00003B000000}">
      <text>
        <r>
          <rPr>
            <b/>
            <sz val="9"/>
            <color indexed="81"/>
            <rFont val="Tahoma"/>
            <family val="2"/>
          </rPr>
          <t>stilerman:</t>
        </r>
        <r>
          <rPr>
            <sz val="9"/>
            <color indexed="81"/>
            <rFont val="Tahoma"/>
            <family val="2"/>
          </rPr>
          <t xml:space="preserve">
For MSS</t>
        </r>
      </text>
    </comment>
    <comment ref="C132" authorId="0" shapeId="0" xr:uid="{8C3B0703-EB3D-4A4D-B945-90F64D06ACA9}">
      <text>
        <r>
          <rPr>
            <b/>
            <sz val="9"/>
            <color indexed="81"/>
            <rFont val="Tahoma"/>
            <family val="2"/>
          </rPr>
          <t>Klal Yisrael:</t>
        </r>
        <r>
          <rPr>
            <sz val="9"/>
            <color indexed="81"/>
            <rFont val="Tahoma"/>
            <family val="2"/>
          </rPr>
          <t xml:space="preserve">
Through NGF</t>
        </r>
      </text>
    </comment>
    <comment ref="D132" authorId="1" shapeId="0" xr:uid="{F40FDC3F-8FBC-45FF-A5AA-5C505F85971D}">
      <text>
        <r>
          <rPr>
            <b/>
            <sz val="9"/>
            <color indexed="81"/>
            <rFont val="Tahoma"/>
            <family val="2"/>
          </rPr>
          <t>Stilerman</t>
        </r>
        <r>
          <rPr>
            <sz val="9"/>
            <color indexed="81"/>
            <rFont val="Tahoma"/>
            <family val="2"/>
          </rPr>
          <t xml:space="preserve">: Schwimmer
1) Starting june 2018 - for 12 months
2) another 12 months
(six months 2019 - six months 2020) </t>
        </r>
      </text>
    </comment>
    <comment ref="E132" authorId="1" shapeId="0" xr:uid="{00000000-0006-0000-0300-00003C000000}">
      <text>
        <r>
          <rPr>
            <b/>
            <sz val="9"/>
            <color indexed="81"/>
            <rFont val="Tahoma"/>
            <family val="2"/>
          </rPr>
          <t>Stilerman</t>
        </r>
        <r>
          <rPr>
            <sz val="9"/>
            <color indexed="81"/>
            <rFont val="Tahoma"/>
            <family val="2"/>
          </rPr>
          <t>: Schwimmer
1) 6 months from july 2017
2) 5 months begining of 2018</t>
        </r>
      </text>
    </comment>
    <comment ref="F132" authorId="0" shapeId="0" xr:uid="{1FD58388-8F53-4F6A-958E-97E9C0A21048}">
      <text>
        <r>
          <rPr>
            <b/>
            <sz val="9"/>
            <color indexed="81"/>
            <rFont val="Tahoma"/>
            <family val="2"/>
          </rPr>
          <t>Klal Yisrael:</t>
        </r>
        <r>
          <rPr>
            <sz val="9"/>
            <color indexed="81"/>
            <rFont val="Tahoma"/>
            <family val="2"/>
          </rPr>
          <t xml:space="preserve">
1) For Meir חתונה
2) Sucas ($500 to Elisha)</t>
        </r>
      </text>
    </comment>
    <comment ref="G132" authorId="0" shapeId="0" xr:uid="{31177D68-3DB0-46AB-A960-031C1E0833C4}">
      <text>
        <r>
          <rPr>
            <b/>
            <sz val="9"/>
            <color indexed="81"/>
            <rFont val="Tahoma"/>
            <family val="2"/>
          </rPr>
          <t>Klal Yisrael:</t>
        </r>
        <r>
          <rPr>
            <sz val="9"/>
            <color indexed="81"/>
            <rFont val="Tahoma"/>
            <family val="2"/>
          </rPr>
          <t xml:space="preserve">
Another 12 months
Starting May?</t>
        </r>
      </text>
    </comment>
    <comment ref="I132" authorId="0" shapeId="0" xr:uid="{00000000-0006-0000-0300-00003D000000}">
      <text>
        <r>
          <rPr>
            <b/>
            <sz val="9"/>
            <color indexed="81"/>
            <rFont val="Tahoma"/>
            <family val="2"/>
          </rPr>
          <t>Klal Yisrael:</t>
        </r>
        <r>
          <rPr>
            <sz val="9"/>
            <color indexed="81"/>
            <rFont val="Tahoma"/>
            <family val="2"/>
          </rPr>
          <t xml:space="preserve">
for Yits Bamberger</t>
        </r>
      </text>
    </comment>
    <comment ref="J132" authorId="1" shapeId="0" xr:uid="{00000000-0006-0000-0300-00003E000000}">
      <text>
        <r>
          <rPr>
            <b/>
            <sz val="9"/>
            <color indexed="81"/>
            <rFont val="Tahoma"/>
            <family val="2"/>
          </rPr>
          <t>Stilerman:</t>
        </r>
        <r>
          <rPr>
            <sz val="9"/>
            <color indexed="81"/>
            <rFont val="Tahoma"/>
            <family val="2"/>
          </rPr>
          <t xml:space="preserve">
6 months
from Feb</t>
        </r>
      </text>
    </comment>
    <comment ref="B133" authorId="2" shapeId="0" xr:uid="{292F5DDE-BD20-45FF-99B6-4CFE139C3455}">
      <text>
        <r>
          <rPr>
            <b/>
            <sz val="9"/>
            <color indexed="81"/>
            <rFont val="Tahoma"/>
            <family val="2"/>
          </rPr>
          <t>stilerman:</t>
        </r>
        <r>
          <rPr>
            <sz val="9"/>
            <color indexed="81"/>
            <rFont val="Tahoma"/>
            <family val="2"/>
          </rPr>
          <t xml:space="preserve">
For: MSS</t>
        </r>
      </text>
    </comment>
    <comment ref="C133" authorId="2" shapeId="0" xr:uid="{473B36B2-9132-49F1-A751-3C6B034C2275}">
      <text>
        <r>
          <rPr>
            <b/>
            <sz val="9"/>
            <color indexed="81"/>
            <rFont val="Tahoma"/>
            <family val="2"/>
          </rPr>
          <t>stilerman:</t>
        </r>
        <r>
          <rPr>
            <sz val="9"/>
            <color indexed="81"/>
            <rFont val="Tahoma"/>
            <family val="2"/>
          </rPr>
          <t xml:space="preserve">
For: MSS</t>
        </r>
      </text>
    </comment>
    <comment ref="D133" authorId="2" shapeId="0" xr:uid="{55D712FF-76D5-416D-977D-81F26D8D31D3}">
      <text>
        <r>
          <rPr>
            <b/>
            <sz val="9"/>
            <color indexed="81"/>
            <rFont val="Tahoma"/>
            <family val="2"/>
          </rPr>
          <t>stilerman:</t>
        </r>
        <r>
          <rPr>
            <sz val="9"/>
            <color indexed="81"/>
            <rFont val="Tahoma"/>
            <family val="2"/>
          </rPr>
          <t xml:space="preserve">
For: MSS</t>
        </r>
      </text>
    </comment>
    <comment ref="G133" authorId="2" shapeId="0" xr:uid="{E155CD7A-7C5F-4580-AEB1-CCB9DDCB5B9F}">
      <text>
        <r>
          <rPr>
            <b/>
            <sz val="9"/>
            <color indexed="81"/>
            <rFont val="Tahoma"/>
            <family val="2"/>
          </rPr>
          <t>stilerman:</t>
        </r>
        <r>
          <rPr>
            <sz val="9"/>
            <color indexed="81"/>
            <rFont val="Tahoma"/>
            <family val="2"/>
          </rPr>
          <t xml:space="preserve">
For: MSS</t>
        </r>
      </text>
    </comment>
    <comment ref="I133" authorId="2" shapeId="0" xr:uid="{00000000-0006-0000-0300-00003F000000}">
      <text>
        <r>
          <rPr>
            <b/>
            <sz val="9"/>
            <color indexed="81"/>
            <rFont val="Tahoma"/>
            <family val="2"/>
          </rPr>
          <t>stilerman:</t>
        </r>
        <r>
          <rPr>
            <sz val="9"/>
            <color indexed="81"/>
            <rFont val="Tahoma"/>
            <family val="2"/>
          </rPr>
          <t xml:space="preserve">
For: MSS</t>
        </r>
      </text>
    </comment>
    <comment ref="K133" authorId="2" shapeId="0" xr:uid="{00000000-0006-0000-0300-000040000000}">
      <text>
        <r>
          <rPr>
            <b/>
            <sz val="9"/>
            <color indexed="81"/>
            <rFont val="Tahoma"/>
            <family val="2"/>
          </rPr>
          <t>stilerman:</t>
        </r>
        <r>
          <rPr>
            <sz val="9"/>
            <color indexed="81"/>
            <rFont val="Tahoma"/>
            <family val="2"/>
          </rPr>
          <t xml:space="preserve">
For: MSS</t>
        </r>
      </text>
    </comment>
    <comment ref="C135" authorId="1" shapeId="0" xr:uid="{0F18E1DA-0141-43A8-9142-5027221896FC}">
      <text>
        <r>
          <rPr>
            <b/>
            <sz val="9"/>
            <color indexed="81"/>
            <rFont val="Tahoma"/>
            <family val="2"/>
          </rPr>
          <t>Stilerman:</t>
        </r>
        <r>
          <rPr>
            <sz val="9"/>
            <color indexed="81"/>
            <rFont val="Tahoma"/>
            <family val="2"/>
          </rPr>
          <t xml:space="preserve">
Moshe Issac Shapiro</t>
        </r>
      </text>
    </comment>
    <comment ref="D135" authorId="0" shapeId="0" xr:uid="{AD3CE31E-E8D0-4224-93A8-69A5C8C67446}">
      <text>
        <r>
          <rPr>
            <b/>
            <sz val="9"/>
            <color indexed="81"/>
            <rFont val="Tahoma"/>
            <family val="2"/>
          </rPr>
          <t>Klal Yisrael:</t>
        </r>
        <r>
          <rPr>
            <sz val="9"/>
            <color indexed="81"/>
            <rFont val="Tahoma"/>
            <family val="2"/>
          </rPr>
          <t xml:space="preserve">
For Pesach</t>
        </r>
      </text>
    </comment>
    <comment ref="F135" authorId="0" shapeId="0" xr:uid="{8A934539-906D-4C44-B670-27120A18383D}">
      <text>
        <r>
          <rPr>
            <b/>
            <sz val="9"/>
            <color indexed="81"/>
            <rFont val="Tahoma"/>
            <family val="2"/>
          </rPr>
          <t>Klal Yisrael:</t>
        </r>
        <r>
          <rPr>
            <sz val="9"/>
            <color indexed="81"/>
            <rFont val="Tahoma"/>
            <family val="2"/>
          </rPr>
          <t xml:space="preserve">
Succas</t>
        </r>
      </text>
    </comment>
    <comment ref="B136" authorId="1" shapeId="0" xr:uid="{99DE7A49-42FE-43CD-AA41-8CBE4D3FA947}">
      <text>
        <r>
          <rPr>
            <b/>
            <sz val="9"/>
            <color indexed="81"/>
            <rFont val="Tahoma"/>
            <family val="2"/>
          </rPr>
          <t>Stilerman:</t>
        </r>
        <r>
          <rPr>
            <sz val="9"/>
            <color indexed="81"/>
            <rFont val="Tahoma"/>
            <family val="2"/>
          </rPr>
          <t xml:space="preserve">
Changed from $18 monthly</t>
        </r>
      </text>
    </comment>
    <comment ref="C136" authorId="2" shapeId="0" xr:uid="{E76790C6-B8BB-45D3-BA40-F441C54557DC}">
      <text>
        <r>
          <rPr>
            <b/>
            <sz val="9"/>
            <color indexed="81"/>
            <rFont val="Tahoma"/>
            <family val="2"/>
          </rPr>
          <t>stilerman:</t>
        </r>
        <r>
          <rPr>
            <sz val="9"/>
            <color indexed="81"/>
            <rFont val="Tahoma"/>
            <family val="2"/>
          </rPr>
          <t xml:space="preserve">
For semicha mesiba - that I bought (switched)
</t>
        </r>
      </text>
    </comment>
    <comment ref="D137" authorId="0" shapeId="0" xr:uid="{53BBFFA2-192E-42E8-B1A4-7345BEDCFD08}">
      <text>
        <r>
          <rPr>
            <b/>
            <sz val="9"/>
            <color indexed="81"/>
            <rFont val="Tahoma"/>
            <family val="2"/>
          </rPr>
          <t>Klal Yisrael:</t>
        </r>
        <r>
          <rPr>
            <sz val="9"/>
            <color indexed="81"/>
            <rFont val="Tahoma"/>
            <family val="2"/>
          </rPr>
          <t xml:space="preserve">
1) Aaron Simon $500 through Israli CC - For Succas</t>
        </r>
      </text>
    </comment>
    <comment ref="F137" authorId="0" shapeId="0" xr:uid="{2E36938D-DE8F-4487-B608-21049F5F64B2}">
      <text>
        <r>
          <rPr>
            <b/>
            <sz val="9"/>
            <color indexed="81"/>
            <rFont val="Tahoma"/>
            <family val="2"/>
          </rPr>
          <t>Klal Yisrael:</t>
        </r>
        <r>
          <rPr>
            <sz val="9"/>
            <color indexed="81"/>
            <rFont val="Tahoma"/>
            <family val="2"/>
          </rPr>
          <t xml:space="preserve">
For Meir חתונה</t>
        </r>
      </text>
    </comment>
    <comment ref="H137" authorId="0" shapeId="0" xr:uid="{00000000-0006-0000-0300-000041000000}">
      <text>
        <r>
          <rPr>
            <b/>
            <sz val="9"/>
            <color indexed="81"/>
            <rFont val="Tahoma"/>
            <family val="2"/>
          </rPr>
          <t>Klal Yisrael:</t>
        </r>
        <r>
          <rPr>
            <sz val="9"/>
            <color indexed="81"/>
            <rFont val="Tahoma"/>
            <family val="2"/>
          </rPr>
          <t xml:space="preserve">
For Ita חתונה</t>
        </r>
      </text>
    </comment>
    <comment ref="C138" authorId="1" shapeId="0" xr:uid="{A9201B42-B1A9-48AC-9E90-EA32BA6A70E9}">
      <text>
        <r>
          <rPr>
            <b/>
            <sz val="9"/>
            <color indexed="81"/>
            <rFont val="Tahoma"/>
            <family val="2"/>
          </rPr>
          <t>Stilerman:</t>
        </r>
        <r>
          <rPr>
            <sz val="9"/>
            <color indexed="81"/>
            <rFont val="Tahoma"/>
            <family val="2"/>
          </rPr>
          <t xml:space="preserve">
Updated cc card</t>
        </r>
      </text>
    </comment>
    <comment ref="D138" authorId="0" shapeId="0" xr:uid="{E43C930C-A827-4B4E-90D8-C7D95593D6F6}">
      <text>
        <r>
          <rPr>
            <b/>
            <sz val="9"/>
            <color indexed="81"/>
            <rFont val="Tahoma"/>
            <family val="2"/>
          </rPr>
          <t>Klal Yisrael:</t>
        </r>
        <r>
          <rPr>
            <sz val="9"/>
            <color indexed="81"/>
            <rFont val="Tahoma"/>
            <family val="2"/>
          </rPr>
          <t xml:space="preserve">
1) One time CC $85 - Jan 12, 2021 - vituall מלוה מלכה</t>
        </r>
      </text>
    </comment>
    <comment ref="B139" authorId="1" shapeId="0" xr:uid="{73A75EDE-5149-478C-9C08-2302ED3CF774}">
      <text>
        <r>
          <rPr>
            <b/>
            <sz val="9"/>
            <color indexed="81"/>
            <rFont val="Tahoma"/>
            <family val="2"/>
          </rPr>
          <t>Stilerman:</t>
        </r>
        <r>
          <rPr>
            <sz val="9"/>
            <color indexed="81"/>
            <rFont val="Tahoma"/>
            <family val="2"/>
          </rPr>
          <t xml:space="preserve">
For Reb Avrohom</t>
        </r>
      </text>
    </comment>
    <comment ref="C139" authorId="0" shapeId="0" xr:uid="{84FA6DB2-10A9-4188-9715-FAFD51BEF17D}">
      <text>
        <r>
          <rPr>
            <b/>
            <sz val="9"/>
            <color indexed="81"/>
            <rFont val="Tahoma"/>
            <family val="2"/>
          </rPr>
          <t>Klal Yisrael:</t>
        </r>
        <r>
          <rPr>
            <sz val="9"/>
            <color indexed="81"/>
            <rFont val="Tahoma"/>
            <family val="2"/>
          </rPr>
          <t xml:space="preserve">
1) Gave me $500 cash - Jan 12</t>
        </r>
      </text>
    </comment>
    <comment ref="C140" authorId="2" shapeId="0" xr:uid="{3474EF18-C448-4DFF-A643-0E2BFB996A58}">
      <text>
        <r>
          <rPr>
            <b/>
            <sz val="9"/>
            <color indexed="81"/>
            <rFont val="Tahoma"/>
            <family val="2"/>
          </rPr>
          <t>stilerman:</t>
        </r>
        <r>
          <rPr>
            <sz val="9"/>
            <color indexed="81"/>
            <rFont val="Tahoma"/>
            <family val="2"/>
          </rPr>
          <t xml:space="preserve">
To: IF
1) 6 months - December 2020 - in Israli CC 
2) Added til the end of year
3) plus next year - set up credit card for another 8 months</t>
        </r>
      </text>
    </comment>
    <comment ref="D140" authorId="2" shapeId="0" xr:uid="{A4E789B6-61C0-4000-B04D-9DA5A54C2B4E}">
      <text>
        <r>
          <rPr>
            <b/>
            <sz val="9"/>
            <color indexed="81"/>
            <rFont val="Tahoma"/>
            <family val="2"/>
          </rPr>
          <t>stilerman:</t>
        </r>
        <r>
          <rPr>
            <sz val="9"/>
            <color indexed="81"/>
            <rFont val="Tahoma"/>
            <family val="2"/>
          </rPr>
          <t xml:space="preserve">
To: IF
1) 6 months from end of Sept 2019
(3 months 2019 - 3 months 2020)
2) Another 6 months from June 3 - November</t>
        </r>
      </text>
    </comment>
    <comment ref="F140" authorId="2" shapeId="0" xr:uid="{34017E02-9B17-491F-8985-C5AB4ACF73DA}">
      <text>
        <r>
          <rPr>
            <b/>
            <sz val="9"/>
            <color indexed="81"/>
            <rFont val="Tahoma"/>
            <family val="2"/>
          </rPr>
          <t>stilerman:</t>
        </r>
        <r>
          <rPr>
            <sz val="9"/>
            <color indexed="81"/>
            <rFont val="Tahoma"/>
            <family val="2"/>
          </rPr>
          <t xml:space="preserve">
To: IF
1) 7 months from Jan 2019
</t>
        </r>
      </text>
    </comment>
    <comment ref="G140" authorId="2" shapeId="0" xr:uid="{154EE296-D472-4588-815B-C6485A712F0A}">
      <text>
        <r>
          <rPr>
            <b/>
            <sz val="9"/>
            <color indexed="81"/>
            <rFont val="Tahoma"/>
            <family val="2"/>
          </rPr>
          <t>stilerman:</t>
        </r>
        <r>
          <rPr>
            <sz val="9"/>
            <color indexed="81"/>
            <rFont val="Tahoma"/>
            <family val="2"/>
          </rPr>
          <t xml:space="preserve">
To: IF
1) 6 months from end of Sept 2019
(3 months here - 3 months 2020)
</t>
        </r>
      </text>
    </comment>
    <comment ref="H140" authorId="2" shapeId="0" xr:uid="{00000000-0006-0000-0300-000042000000}">
      <text>
        <r>
          <rPr>
            <b/>
            <sz val="9"/>
            <color indexed="81"/>
            <rFont val="Tahoma"/>
            <family val="2"/>
          </rPr>
          <t>stilerman:</t>
        </r>
        <r>
          <rPr>
            <sz val="9"/>
            <color indexed="81"/>
            <rFont val="Tahoma"/>
            <family val="2"/>
          </rPr>
          <t xml:space="preserve">
To: IF
1) 6 months from Jan
2) 6 months from Sept</t>
        </r>
      </text>
    </comment>
    <comment ref="J140" authorId="2" shapeId="0" xr:uid="{00000000-0006-0000-0300-000043000000}">
      <text>
        <r>
          <rPr>
            <b/>
            <sz val="9"/>
            <color indexed="81"/>
            <rFont val="Tahoma"/>
            <family val="2"/>
          </rPr>
          <t>stilerman:</t>
        </r>
        <r>
          <rPr>
            <sz val="9"/>
            <color indexed="81"/>
            <rFont val="Tahoma"/>
            <family val="2"/>
          </rPr>
          <t xml:space="preserve">
To: IF</t>
        </r>
      </text>
    </comment>
    <comment ref="C141" authorId="0" shapeId="0" xr:uid="{23A01656-BC41-4157-ACEA-78A32963E345}">
      <text>
        <r>
          <rPr>
            <b/>
            <sz val="9"/>
            <color indexed="81"/>
            <rFont val="Tahoma"/>
            <family val="2"/>
          </rPr>
          <t>Klal Yisrael:</t>
        </r>
        <r>
          <rPr>
            <sz val="9"/>
            <color indexed="81"/>
            <rFont val="Tahoma"/>
            <family val="2"/>
          </rPr>
          <t xml:space="preserve">
1) Aaron Simon $500 through Israli CC - For Pesach תשפא</t>
        </r>
      </text>
    </comment>
    <comment ref="F141" authorId="0" shapeId="0" xr:uid="{0E3543D2-681E-4B07-B32B-48002FEDD9F2}">
      <text>
        <r>
          <rPr>
            <b/>
            <sz val="9"/>
            <color indexed="81"/>
            <rFont val="Tahoma"/>
            <family val="2"/>
          </rPr>
          <t>Klal Yisrael:</t>
        </r>
        <r>
          <rPr>
            <sz val="9"/>
            <color indexed="81"/>
            <rFont val="Tahoma"/>
            <family val="2"/>
          </rPr>
          <t xml:space="preserve">
1) For Friends Chasunah</t>
        </r>
      </text>
    </comment>
    <comment ref="H142" authorId="0" shapeId="0" xr:uid="{00000000-0006-0000-0300-000044000000}">
      <text>
        <r>
          <rPr>
            <b/>
            <sz val="9"/>
            <color indexed="81"/>
            <rFont val="Tahoma"/>
            <family val="2"/>
          </rPr>
          <t>Klal Yisrael:</t>
        </r>
        <r>
          <rPr>
            <sz val="9"/>
            <color indexed="81"/>
            <rFont val="Tahoma"/>
            <family val="2"/>
          </rPr>
          <t xml:space="preserve">
2) $36, for weinbaum (that I gave)
3) By שבועות by CC 134/2 ($67)</t>
        </r>
      </text>
    </comment>
    <comment ref="J142" authorId="2" shapeId="0" xr:uid="{00000000-0006-0000-0300-000045000000}">
      <text>
        <r>
          <rPr>
            <b/>
            <sz val="9"/>
            <color indexed="81"/>
            <rFont val="Tahoma"/>
            <family val="2"/>
          </rPr>
          <t>stilerman:</t>
        </r>
        <r>
          <rPr>
            <sz val="9"/>
            <color indexed="81"/>
            <rFont val="Tahoma"/>
            <family val="2"/>
          </rPr>
          <t xml:space="preserve">
1) $100
2) plus $47 [$7 here. $40 by me]</t>
        </r>
      </text>
    </comment>
    <comment ref="C143" authorId="0" shapeId="0" xr:uid="{D4D60CAF-FC8B-4666-866F-B0F1C936D24B}">
      <text>
        <r>
          <rPr>
            <b/>
            <sz val="9"/>
            <color indexed="81"/>
            <rFont val="Tahoma"/>
            <family val="2"/>
          </rPr>
          <t>Klal Yisrael:</t>
        </r>
        <r>
          <rPr>
            <sz val="9"/>
            <color indexed="81"/>
            <rFont val="Tahoma"/>
            <family val="2"/>
          </rPr>
          <t xml:space="preserve">
1) $50 on web campaign - Jan 12</t>
        </r>
      </text>
    </comment>
    <comment ref="F144" authorId="0" shapeId="0" xr:uid="{7C51A977-A5EB-4A0D-91D5-B4B2DF102DD3}">
      <text>
        <r>
          <rPr>
            <b/>
            <sz val="9"/>
            <color indexed="81"/>
            <rFont val="Tahoma"/>
            <family val="2"/>
          </rPr>
          <t>Klal Yisrael:</t>
        </r>
        <r>
          <rPr>
            <sz val="9"/>
            <color indexed="81"/>
            <rFont val="Tahoma"/>
            <family val="2"/>
          </rPr>
          <t xml:space="preserve">
Every Month - half</t>
        </r>
      </text>
    </comment>
    <comment ref="H144" authorId="0" shapeId="0" xr:uid="{DCCCBC4B-0040-4CD7-9D97-171626785E3C}">
      <text>
        <r>
          <rPr>
            <b/>
            <sz val="9"/>
            <color indexed="81"/>
            <rFont val="Tahoma"/>
            <family val="2"/>
          </rPr>
          <t>Klal Yisrael:</t>
        </r>
        <r>
          <rPr>
            <sz val="9"/>
            <color indexed="81"/>
            <rFont val="Tahoma"/>
            <family val="2"/>
          </rPr>
          <t xml:space="preserve">
For FE - Starting May (8 months this year). 12 months.</t>
        </r>
      </text>
    </comment>
    <comment ref="I145" authorId="0" shapeId="0" xr:uid="{00000000-0006-0000-0300-000046000000}">
      <text>
        <r>
          <rPr>
            <b/>
            <sz val="9"/>
            <color indexed="81"/>
            <rFont val="Tahoma"/>
            <family val="2"/>
          </rPr>
          <t>Klal Yisrael:</t>
        </r>
        <r>
          <rPr>
            <sz val="9"/>
            <color indexed="81"/>
            <rFont val="Tahoma"/>
            <family val="2"/>
          </rPr>
          <t xml:space="preserve">
טו בשבו</t>
        </r>
      </text>
    </comment>
    <comment ref="K146" authorId="1" shapeId="0" xr:uid="{00000000-0006-0000-0300-000047000000}">
      <text>
        <r>
          <rPr>
            <b/>
            <sz val="9"/>
            <color indexed="81"/>
            <rFont val="Tahoma"/>
            <family val="2"/>
          </rPr>
          <t>Stilerman:</t>
        </r>
        <r>
          <rPr>
            <sz val="9"/>
            <color indexed="81"/>
            <rFont val="Tahoma"/>
            <family val="2"/>
          </rPr>
          <t xml:space="preserve">
For Avrom Friend</t>
        </r>
      </text>
    </comment>
    <comment ref="H147" authorId="0" shapeId="0" xr:uid="{00000000-0006-0000-0300-000048000000}">
      <text>
        <r>
          <rPr>
            <b/>
            <sz val="9"/>
            <color indexed="81"/>
            <rFont val="Tahoma"/>
            <family val="2"/>
          </rPr>
          <t>Klal Yisrael:</t>
        </r>
        <r>
          <rPr>
            <sz val="9"/>
            <color indexed="81"/>
            <rFont val="Tahoma"/>
            <family val="2"/>
          </rPr>
          <t xml:space="preserve">
1) June 11
2) August 5</t>
        </r>
      </text>
    </comment>
    <comment ref="I147" authorId="0" shapeId="0" xr:uid="{00000000-0006-0000-0300-000049000000}">
      <text>
        <r>
          <rPr>
            <b/>
            <sz val="9"/>
            <color indexed="81"/>
            <rFont val="Tahoma"/>
            <family val="2"/>
          </rPr>
          <t xml:space="preserve">Klal Yisrael: </t>
        </r>
        <r>
          <rPr>
            <sz val="9"/>
            <color indexed="81"/>
            <rFont val="Tahoma"/>
            <family val="2"/>
          </rPr>
          <t>Stilerman
Starting August 12 2018 
For 18 months
Until Jan 12 2020
Total: 5,400
*For Chanah, Bus, Printing</t>
        </r>
      </text>
    </comment>
    <comment ref="D148" authorId="0" shapeId="0" xr:uid="{0523972F-6961-4AA5-B661-BCA1E2A54638}">
      <text>
        <r>
          <rPr>
            <b/>
            <sz val="9"/>
            <color indexed="81"/>
            <rFont val="Tahoma"/>
            <family val="2"/>
          </rPr>
          <t>Klal Yisrael:</t>
        </r>
        <r>
          <rPr>
            <sz val="9"/>
            <color indexed="81"/>
            <rFont val="Tahoma"/>
            <family val="2"/>
          </rPr>
          <t xml:space="preserve">
1) Eli Teitelbaum - Purim/pesach</t>
        </r>
      </text>
    </comment>
    <comment ref="F148" authorId="0" shapeId="0" xr:uid="{E6073B95-893E-4DA6-A0A5-7F8C53A84427}">
      <text>
        <r>
          <rPr>
            <b/>
            <sz val="9"/>
            <color indexed="81"/>
            <rFont val="Tahoma"/>
            <family val="2"/>
          </rPr>
          <t>Klal Yisrael:</t>
        </r>
        <r>
          <rPr>
            <sz val="9"/>
            <color indexed="81"/>
            <rFont val="Tahoma"/>
            <family val="2"/>
          </rPr>
          <t xml:space="preserve">
1) 13 months.
$1,000
* $300 Zeidy
* $200 Yossi
* $300 Ita Chasuna
* $200 Meir Chasuna (That Daddy and I remember [we hope] about a year later) - a total of $2,600</t>
        </r>
      </text>
    </comment>
    <comment ref="H148" authorId="0" shapeId="0" xr:uid="{00000000-0006-0000-0300-00004A000000}">
      <text>
        <r>
          <rPr>
            <b/>
            <sz val="9"/>
            <color indexed="81"/>
            <rFont val="Tahoma"/>
            <family val="2"/>
          </rPr>
          <t>Klal Yisrael:</t>
        </r>
        <r>
          <rPr>
            <sz val="9"/>
            <color indexed="81"/>
            <rFont val="Tahoma"/>
            <family val="2"/>
          </rPr>
          <t xml:space="preserve">
1) Purim
2) Pesach</t>
        </r>
      </text>
    </comment>
    <comment ref="I148" authorId="0" shapeId="0" xr:uid="{00000000-0006-0000-0300-00004B000000}">
      <text>
        <r>
          <rPr>
            <b/>
            <sz val="9"/>
            <color indexed="81"/>
            <rFont val="Tahoma"/>
            <family val="2"/>
          </rPr>
          <t>Klal Yisrael:</t>
        </r>
        <r>
          <rPr>
            <sz val="9"/>
            <color indexed="81"/>
            <rFont val="Tahoma"/>
            <family val="2"/>
          </rPr>
          <t xml:space="preserve">
Gives $500 monlthly
$200 to Yossi
For 11 months</t>
        </r>
      </text>
    </comment>
    <comment ref="D149" authorId="0" shapeId="0" xr:uid="{469ED669-90A2-4F35-94F3-3BD4B7AA5BA9}">
      <text>
        <r>
          <rPr>
            <b/>
            <sz val="9"/>
            <color indexed="81"/>
            <rFont val="Tahoma"/>
            <family val="2"/>
          </rPr>
          <t>Klal Yisrael:</t>
        </r>
        <r>
          <rPr>
            <sz val="9"/>
            <color indexed="81"/>
            <rFont val="Tahoma"/>
            <family val="2"/>
          </rPr>
          <t xml:space="preserve">
7 months</t>
        </r>
      </text>
    </comment>
    <comment ref="G149" authorId="0" shapeId="0" xr:uid="{0DA310AD-87D7-4D50-B77E-1497DD509E91}">
      <text>
        <r>
          <rPr>
            <b/>
            <sz val="9"/>
            <color indexed="81"/>
            <rFont val="Tahoma"/>
            <family val="2"/>
          </rPr>
          <t>Klal Yisrael:</t>
        </r>
        <r>
          <rPr>
            <sz val="9"/>
            <color indexed="81"/>
            <rFont val="Tahoma"/>
            <family val="2"/>
          </rPr>
          <t xml:space="preserve">
1) For Meir חתונה
2) Eli Father, for pesach</t>
        </r>
      </text>
    </comment>
    <comment ref="J149" authorId="2" shapeId="0" xr:uid="{00000000-0006-0000-0300-00004C000000}">
      <text>
        <r>
          <rPr>
            <b/>
            <sz val="9"/>
            <color indexed="81"/>
            <rFont val="Tahoma"/>
            <family val="2"/>
          </rPr>
          <t>stilerman:</t>
        </r>
        <r>
          <rPr>
            <sz val="9"/>
            <color indexed="81"/>
            <rFont val="Tahoma"/>
            <family val="2"/>
          </rPr>
          <t xml:space="preserve">
To: AvBa + YL</t>
        </r>
      </text>
    </comment>
    <comment ref="F150" authorId="0" shapeId="0" xr:uid="{24FD1554-1A36-44EC-8E20-86925439F5A6}">
      <text>
        <r>
          <rPr>
            <b/>
            <sz val="9"/>
            <color indexed="81"/>
            <rFont val="Tahoma"/>
            <family val="2"/>
          </rPr>
          <t>Klal Yisrael:</t>
        </r>
        <r>
          <rPr>
            <sz val="9"/>
            <color indexed="81"/>
            <rFont val="Tahoma"/>
            <family val="2"/>
          </rPr>
          <t xml:space="preserve">
Pesach?</t>
        </r>
      </text>
    </comment>
    <comment ref="F151" authorId="0" shapeId="0" xr:uid="{15CF9852-8C17-44D2-BA4E-999E87ABDC0A}">
      <text>
        <r>
          <rPr>
            <b/>
            <sz val="9"/>
            <color indexed="81"/>
            <rFont val="Tahoma"/>
            <family val="2"/>
          </rPr>
          <t>Klal Yisrael:</t>
        </r>
        <r>
          <rPr>
            <sz val="9"/>
            <color indexed="81"/>
            <rFont val="Tahoma"/>
            <family val="2"/>
          </rPr>
          <t xml:space="preserve">
For Meir חתונה</t>
        </r>
      </text>
    </comment>
    <comment ref="H151" authorId="0" shapeId="0" xr:uid="{F4798926-6B47-4E62-B18A-E78DB838190D}">
      <text>
        <r>
          <rPr>
            <b/>
            <sz val="9"/>
            <color indexed="81"/>
            <rFont val="Tahoma"/>
            <family val="2"/>
          </rPr>
          <t>Klal Yisrael:</t>
        </r>
        <r>
          <rPr>
            <sz val="9"/>
            <color indexed="81"/>
            <rFont val="Tahoma"/>
            <family val="2"/>
          </rPr>
          <t xml:space="preserve">
For Ita חתונה</t>
        </r>
      </text>
    </comment>
    <comment ref="D152" authorId="0" shapeId="0" xr:uid="{2474BBDF-D945-41A8-8EFA-D97D8A7FE828}">
      <text>
        <r>
          <rPr>
            <b/>
            <sz val="9"/>
            <color indexed="81"/>
            <rFont val="Tahoma"/>
            <family val="2"/>
          </rPr>
          <t>Klal Yisrael:</t>
        </r>
        <r>
          <rPr>
            <sz val="9"/>
            <color indexed="81"/>
            <rFont val="Tahoma"/>
            <family val="2"/>
          </rPr>
          <t xml:space="preserve">
1) Purim</t>
        </r>
      </text>
    </comment>
    <comment ref="F152" authorId="0" shapeId="0" xr:uid="{E475785F-F0C3-455D-B79A-5133AE6C8EA1}">
      <text>
        <r>
          <rPr>
            <b/>
            <sz val="9"/>
            <color indexed="81"/>
            <rFont val="Tahoma"/>
            <family val="2"/>
          </rPr>
          <t>Klal Yisrael:</t>
        </r>
        <r>
          <rPr>
            <sz val="9"/>
            <color indexed="81"/>
            <rFont val="Tahoma"/>
            <family val="2"/>
          </rPr>
          <t xml:space="preserve">
1) 1,000 For Meir חתונה
2) 200 - מתניות לאביונים
3) $300 Pesach
4) $2,000 Succas</t>
        </r>
      </text>
    </comment>
    <comment ref="H152" authorId="0" shapeId="0" xr:uid="{00000000-0006-0000-0300-00004D000000}">
      <text>
        <r>
          <rPr>
            <b/>
            <sz val="9"/>
            <color indexed="81"/>
            <rFont val="Tahoma"/>
            <family val="2"/>
          </rPr>
          <t>Klal Yisrael:</t>
        </r>
        <r>
          <rPr>
            <sz val="9"/>
            <color indexed="81"/>
            <rFont val="Tahoma"/>
            <family val="2"/>
          </rPr>
          <t xml:space="preserve">
2) Sucas
3) Advertizment</t>
        </r>
      </text>
    </comment>
    <comment ref="J152" authorId="1" shapeId="0" xr:uid="{00000000-0006-0000-0300-00004E000000}">
      <text>
        <r>
          <rPr>
            <b/>
            <sz val="9"/>
            <color indexed="81"/>
            <rFont val="Tahoma"/>
            <family val="2"/>
          </rPr>
          <t>Stilerman:</t>
        </r>
        <r>
          <rPr>
            <sz val="9"/>
            <color indexed="81"/>
            <rFont val="Tahoma"/>
            <family val="2"/>
          </rPr>
          <t xml:space="preserve">
1) Reb Mordechai</t>
        </r>
      </text>
    </comment>
    <comment ref="D153" authorId="0" shapeId="0" xr:uid="{31C1A530-62C0-4608-ABD5-D513766C3CF4}">
      <text>
        <r>
          <rPr>
            <b/>
            <sz val="9"/>
            <color indexed="81"/>
            <rFont val="Tahoma"/>
            <family val="2"/>
          </rPr>
          <t>Klal Yisrael:</t>
        </r>
        <r>
          <rPr>
            <sz val="9"/>
            <color indexed="81"/>
            <rFont val="Tahoma"/>
            <family val="2"/>
          </rPr>
          <t xml:space="preserve">
1) Purim - Pesach</t>
        </r>
      </text>
    </comment>
    <comment ref="F153" authorId="0" shapeId="0" xr:uid="{DBCE3131-1AF8-45CF-90B1-B64A6A165C30}">
      <text>
        <r>
          <rPr>
            <b/>
            <sz val="9"/>
            <color indexed="81"/>
            <rFont val="Tahoma"/>
            <family val="2"/>
          </rPr>
          <t>Klal Yisrael:</t>
        </r>
        <r>
          <rPr>
            <sz val="9"/>
            <color indexed="81"/>
            <rFont val="Tahoma"/>
            <family val="2"/>
          </rPr>
          <t xml:space="preserve">
For Meir חתונה</t>
        </r>
      </text>
    </comment>
    <comment ref="F154" authorId="0" shapeId="0" xr:uid="{E822C129-EEF3-4926-A58A-FD87384DA129}">
      <text>
        <r>
          <rPr>
            <b/>
            <sz val="9"/>
            <color indexed="81"/>
            <rFont val="Tahoma"/>
            <family val="2"/>
          </rPr>
          <t>Klal Yisrael:</t>
        </r>
        <r>
          <rPr>
            <sz val="9"/>
            <color indexed="81"/>
            <rFont val="Tahoma"/>
            <family val="2"/>
          </rPr>
          <t xml:space="preserve">
1) From Ita - for chasuna gemach</t>
        </r>
      </text>
    </comment>
    <comment ref="H154" authorId="0" shapeId="0" xr:uid="{85845795-00CE-402E-A3B2-A6265E81B941}">
      <text>
        <r>
          <rPr>
            <b/>
            <sz val="9"/>
            <color indexed="81"/>
            <rFont val="Tahoma"/>
            <family val="2"/>
          </rPr>
          <t>Klal Yisrael:</t>
        </r>
        <r>
          <rPr>
            <sz val="9"/>
            <color indexed="81"/>
            <rFont val="Tahoma"/>
            <family val="2"/>
          </rPr>
          <t xml:space="preserve">
For Ita &amp; Meir חתונה</t>
        </r>
      </text>
    </comment>
    <comment ref="C156" authorId="0" shapeId="0" xr:uid="{E23173A2-5ED3-4FEB-9EF4-476539035F79}">
      <text>
        <r>
          <rPr>
            <b/>
            <sz val="9"/>
            <color indexed="81"/>
            <rFont val="Tahoma"/>
            <family val="2"/>
          </rPr>
          <t>Klal Yisrael:</t>
        </r>
        <r>
          <rPr>
            <sz val="9"/>
            <color indexed="81"/>
            <rFont val="Tahoma"/>
            <family val="2"/>
          </rPr>
          <t xml:space="preserve">
1) 10,000 nis
not sure who he is</t>
        </r>
      </text>
    </comment>
    <comment ref="C158" authorId="0" shapeId="0" xr:uid="{59DB9CB9-7708-4021-9023-5892C9AA368E}">
      <text>
        <r>
          <rPr>
            <b/>
            <sz val="9"/>
            <color indexed="81"/>
            <rFont val="Tahoma"/>
            <family val="2"/>
          </rPr>
          <t>Klal Yisrael:</t>
        </r>
        <r>
          <rPr>
            <sz val="9"/>
            <color indexed="81"/>
            <rFont val="Tahoma"/>
            <family val="2"/>
          </rPr>
          <t xml:space="preserve">
1) $36 on web campaign - Jan 12</t>
        </r>
      </text>
    </comment>
    <comment ref="F159" authorId="0" shapeId="0" xr:uid="{3E2B6A6E-C94B-4427-9DF8-29E084D1B9AE}">
      <text>
        <r>
          <rPr>
            <b/>
            <sz val="9"/>
            <color indexed="81"/>
            <rFont val="Tahoma"/>
            <family val="2"/>
          </rPr>
          <t>Klal Yisrael:</t>
        </r>
        <r>
          <rPr>
            <sz val="9"/>
            <color indexed="81"/>
            <rFont val="Tahoma"/>
            <family val="2"/>
          </rPr>
          <t xml:space="preserve">
For Meir חתונה</t>
        </r>
      </text>
    </comment>
    <comment ref="D160" authorId="0" shapeId="0" xr:uid="{5FF3B347-5378-4B69-A9D1-FE308CF3BCB9}">
      <text>
        <r>
          <rPr>
            <b/>
            <sz val="9"/>
            <color indexed="81"/>
            <rFont val="Tahoma"/>
            <family val="2"/>
          </rPr>
          <t>Klal Yisrael:</t>
        </r>
        <r>
          <rPr>
            <sz val="9"/>
            <color indexed="81"/>
            <rFont val="Tahoma"/>
            <family val="2"/>
          </rPr>
          <t xml:space="preserve">
1) $500 - Rosen [from Werbin friend] - 1/10/20 (that I bought)</t>
        </r>
      </text>
    </comment>
    <comment ref="F160" authorId="0" shapeId="0" xr:uid="{BA70097D-F6ED-41F4-A46C-42F985A15274}">
      <text>
        <r>
          <rPr>
            <b/>
            <sz val="9"/>
            <color indexed="81"/>
            <rFont val="Tahoma"/>
            <family val="2"/>
          </rPr>
          <t>Klal Yisrael:</t>
        </r>
        <r>
          <rPr>
            <sz val="9"/>
            <color indexed="81"/>
            <rFont val="Tahoma"/>
            <family val="2"/>
          </rPr>
          <t xml:space="preserve">
1) For Mishnayis $1800 (that I bought)
2) $300 - Abbo/Rosen
3) $600 - Abbo/Rosen
4) $1000 - Rosen - 4/1/19
5) $600 - Abbo/Rosen - 4/5/19
6) $600 - Abbo/Rosen - 4/14/19
7) $600 - Abbo/Rosen - 12/21/19</t>
        </r>
      </text>
    </comment>
    <comment ref="F161" authorId="0" shapeId="0" xr:uid="{15951771-DA87-465F-8F71-A8F2568402D0}">
      <text>
        <r>
          <rPr>
            <b/>
            <sz val="9"/>
            <color indexed="81"/>
            <rFont val="Tahoma"/>
            <family val="2"/>
          </rPr>
          <t>Klal Yisrael:</t>
        </r>
        <r>
          <rPr>
            <sz val="9"/>
            <color indexed="81"/>
            <rFont val="Tahoma"/>
            <family val="2"/>
          </rPr>
          <t xml:space="preserve">
His shver Carey Gruenbaum gave $1,800 for Mishnayos.</t>
        </r>
      </text>
    </comment>
    <comment ref="H162" authorId="1" shapeId="0" xr:uid="{00000000-0006-0000-0300-00004F000000}">
      <text>
        <r>
          <rPr>
            <b/>
            <sz val="9"/>
            <color indexed="81"/>
            <rFont val="Tahoma"/>
            <family val="2"/>
          </rPr>
          <t>Stilerman:</t>
        </r>
        <r>
          <rPr>
            <sz val="9"/>
            <color indexed="81"/>
            <rFont val="Tahoma"/>
            <family val="2"/>
          </rPr>
          <t xml:space="preserve">
1) Reb Mordechai</t>
        </r>
      </text>
    </comment>
    <comment ref="H163" authorId="0" shapeId="0" xr:uid="{00000000-0006-0000-0300-000050000000}">
      <text>
        <r>
          <rPr>
            <b/>
            <sz val="9"/>
            <color indexed="81"/>
            <rFont val="Tahoma"/>
            <family val="2"/>
          </rPr>
          <t>Klal Yisrael:</t>
        </r>
        <r>
          <rPr>
            <sz val="9"/>
            <color indexed="81"/>
            <rFont val="Tahoma"/>
            <family val="2"/>
          </rPr>
          <t xml:space="preserve">
1) For Reb Yitz - Gave cash before Pesach, see campagn. I paid for it there. 
2) Therefore it is credited to me</t>
        </r>
      </text>
    </comment>
    <comment ref="C164" authorId="0" shapeId="0" xr:uid="{9942498B-D67D-4EF3-BC71-BE3E4F21CBAA}">
      <text>
        <r>
          <rPr>
            <b/>
            <sz val="9"/>
            <color indexed="81"/>
            <rFont val="Tahoma"/>
            <family val="2"/>
          </rPr>
          <t>Klal Yisrael:</t>
        </r>
        <r>
          <rPr>
            <sz val="9"/>
            <color indexed="81"/>
            <rFont val="Tahoma"/>
            <family val="2"/>
          </rPr>
          <t xml:space="preserve">
total $600 - on Web Campaign</t>
        </r>
      </text>
    </comment>
    <comment ref="C165" authorId="1" shapeId="0" xr:uid="{39D04EFD-8E1E-4E77-97EC-18F896F3F850}">
      <text>
        <r>
          <rPr>
            <b/>
            <sz val="9"/>
            <color indexed="81"/>
            <rFont val="Tahoma"/>
            <family val="2"/>
          </rPr>
          <t>Stilerman:</t>
        </r>
        <r>
          <rPr>
            <sz val="9"/>
            <color indexed="81"/>
            <rFont val="Tahoma"/>
            <family val="2"/>
          </rPr>
          <t xml:space="preserve">
pledge $300
never get - unless I give from somewere</t>
        </r>
      </text>
    </comment>
    <comment ref="D165" authorId="0" shapeId="0" xr:uid="{51901B57-63F6-46D7-9E01-3A75E2BACD14}">
      <text>
        <r>
          <rPr>
            <b/>
            <sz val="9"/>
            <color indexed="81"/>
            <rFont val="Tahoma"/>
            <family val="2"/>
          </rPr>
          <t>Klal Yisrael:</t>
        </r>
        <r>
          <rPr>
            <sz val="9"/>
            <color indexed="81"/>
            <rFont val="Tahoma"/>
            <family val="2"/>
          </rPr>
          <t xml:space="preserve">
1) bought from Baum</t>
        </r>
      </text>
    </comment>
    <comment ref="J165" authorId="2" shapeId="0" xr:uid="{00000000-0006-0000-0300-000051000000}">
      <text>
        <r>
          <rPr>
            <b/>
            <sz val="9"/>
            <color indexed="81"/>
            <rFont val="Tahoma"/>
            <family val="2"/>
          </rPr>
          <t>stilerman: got back</t>
        </r>
        <r>
          <rPr>
            <sz val="9"/>
            <color indexed="81"/>
            <rFont val="Tahoma"/>
            <family val="2"/>
          </rPr>
          <t xml:space="preserve">
1) $50 from mother
2) $40 from Sova</t>
        </r>
      </text>
    </comment>
    <comment ref="F166" authorId="0" shapeId="0" xr:uid="{3ECAE030-BB00-48B1-B782-C27D13379C44}">
      <text>
        <r>
          <rPr>
            <b/>
            <sz val="9"/>
            <color indexed="81"/>
            <rFont val="Tahoma"/>
            <family val="2"/>
          </rPr>
          <t>Klal Yisrael:</t>
        </r>
        <r>
          <rPr>
            <sz val="9"/>
            <color indexed="81"/>
            <rFont val="Tahoma"/>
            <family val="2"/>
          </rPr>
          <t xml:space="preserve">
1) For Friends Chasunah</t>
        </r>
      </text>
    </comment>
    <comment ref="C167" authorId="0" shapeId="0" xr:uid="{25731015-9E4D-4DB7-A044-9B9546F574D0}">
      <text>
        <r>
          <rPr>
            <b/>
            <sz val="9"/>
            <color indexed="81"/>
            <rFont val="Tahoma"/>
            <family val="2"/>
          </rPr>
          <t>Klal Yisrael:</t>
        </r>
        <r>
          <rPr>
            <sz val="9"/>
            <color indexed="81"/>
            <rFont val="Tahoma"/>
            <family val="2"/>
          </rPr>
          <t xml:space="preserve">
1) $36 on web campaign - Jan 12</t>
        </r>
      </text>
    </comment>
    <comment ref="H168" authorId="1" shapeId="0" xr:uid="{00000000-0006-0000-0300-000052000000}">
      <text>
        <r>
          <rPr>
            <b/>
            <sz val="9"/>
            <color indexed="81"/>
            <rFont val="Tahoma"/>
            <family val="2"/>
          </rPr>
          <t>Stilerman:</t>
        </r>
        <r>
          <rPr>
            <sz val="9"/>
            <color indexed="81"/>
            <rFont val="Tahoma"/>
            <family val="2"/>
          </rPr>
          <t xml:space="preserve">
1) Reb Mordechai</t>
        </r>
      </text>
    </comment>
    <comment ref="F169" authorId="0" shapeId="0" xr:uid="{AF331ECF-C122-45DA-B907-55DB286CB089}">
      <text>
        <r>
          <rPr>
            <b/>
            <sz val="9"/>
            <color indexed="81"/>
            <rFont val="Tahoma"/>
            <family val="2"/>
          </rPr>
          <t>Klal Yisrael:</t>
        </r>
        <r>
          <rPr>
            <sz val="9"/>
            <color indexed="81"/>
            <rFont val="Tahoma"/>
            <family val="2"/>
          </rPr>
          <t xml:space="preserve">
For Meir חתונה</t>
        </r>
      </text>
    </comment>
    <comment ref="C170" authorId="0" shapeId="0" xr:uid="{3661C4F4-932F-4F02-9BCC-AE3A43A7E690}">
      <text>
        <r>
          <rPr>
            <b/>
            <sz val="9"/>
            <color indexed="81"/>
            <rFont val="Tahoma"/>
            <family val="2"/>
          </rPr>
          <t>Klal Yisrael:</t>
        </r>
        <r>
          <rPr>
            <sz val="9"/>
            <color indexed="81"/>
            <rFont val="Tahoma"/>
            <family val="2"/>
          </rPr>
          <t xml:space="preserve">
1) $133 cash on web campaign - Jan 12</t>
        </r>
      </text>
    </comment>
    <comment ref="J170" authorId="0" shapeId="0" xr:uid="{00000000-0006-0000-0300-000053000000}">
      <text>
        <r>
          <rPr>
            <b/>
            <sz val="9"/>
            <color indexed="81"/>
            <rFont val="Tahoma"/>
            <family val="2"/>
          </rPr>
          <t>Klal Yisrael:</t>
        </r>
        <r>
          <rPr>
            <sz val="9"/>
            <color indexed="81"/>
            <rFont val="Tahoma"/>
            <family val="2"/>
          </rPr>
          <t xml:space="preserve">
5) $1000 for friend</t>
        </r>
      </text>
    </comment>
    <comment ref="N170" authorId="1" shapeId="0" xr:uid="{00000000-0006-0000-0300-000054000000}">
      <text>
        <r>
          <rPr>
            <b/>
            <sz val="9"/>
            <color indexed="81"/>
            <rFont val="Tahoma"/>
            <family val="2"/>
          </rPr>
          <t>Stilerman:</t>
        </r>
        <r>
          <rPr>
            <sz val="9"/>
            <color indexed="81"/>
            <rFont val="Tahoma"/>
            <family val="2"/>
          </rPr>
          <t xml:space="preserve">
1) beging of Adar until beginning of kislev
1200*10 = 12,000
2) gave
2500 
2700 (5/25)
5400 (8/30)
5400 (9/18)
= 16,000
3) give out $4000</t>
        </r>
      </text>
    </comment>
    <comment ref="S170" authorId="1" shapeId="0" xr:uid="{00000000-0006-0000-0300-000055000000}">
      <text>
        <r>
          <rPr>
            <b/>
            <sz val="9"/>
            <color indexed="81"/>
            <rFont val="Tahoma"/>
            <family val="2"/>
          </rPr>
          <t>Stilerman:</t>
        </r>
        <r>
          <rPr>
            <sz val="9"/>
            <color indexed="81"/>
            <rFont val="Tahoma"/>
            <family val="2"/>
          </rPr>
          <t xml:space="preserve">
The first 7 names - Beginning Tishrei, Cheshvan, Kislev 
</t>
        </r>
      </text>
    </comment>
    <comment ref="G171" authorId="3" shapeId="0" xr:uid="{C0A4B733-B5FC-419E-AED3-02FECD2F2956}">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no name?</t>
        </r>
      </text>
    </comment>
    <comment ref="H171" authorId="1" shapeId="0" xr:uid="{00000000-0006-0000-0300-000056000000}">
      <text>
        <r>
          <rPr>
            <b/>
            <sz val="9"/>
            <color indexed="81"/>
            <rFont val="Tahoma"/>
            <family val="2"/>
          </rPr>
          <t>Stilerman:</t>
        </r>
        <r>
          <rPr>
            <sz val="9"/>
            <color indexed="81"/>
            <rFont val="Tahoma"/>
            <family val="2"/>
          </rPr>
          <t xml:space="preserve">
1) From printing</t>
        </r>
      </text>
    </comment>
    <comment ref="K171" authorId="1" shapeId="0" xr:uid="{00000000-0006-0000-0300-000057000000}">
      <text>
        <r>
          <rPr>
            <b/>
            <sz val="9"/>
            <color indexed="81"/>
            <rFont val="Tahoma"/>
            <family val="2"/>
          </rPr>
          <t>Stilerman:</t>
        </r>
        <r>
          <rPr>
            <sz val="9"/>
            <color indexed="81"/>
            <rFont val="Tahoma"/>
            <family val="2"/>
          </rPr>
          <t xml:space="preserve">
For YL</t>
        </r>
      </text>
    </comment>
    <comment ref="C174" authorId="0" shapeId="0" xr:uid="{5DA02C83-F236-4F51-A36B-3C48A4A5D721}">
      <text>
        <r>
          <rPr>
            <b/>
            <sz val="9"/>
            <color indexed="81"/>
            <rFont val="Tahoma"/>
            <family val="2"/>
          </rPr>
          <t>Klal Yisrael:</t>
        </r>
        <r>
          <rPr>
            <sz val="9"/>
            <color indexed="81"/>
            <rFont val="Tahoma"/>
            <family val="2"/>
          </rPr>
          <t xml:space="preserve">
Sruly Tratner - Mishnayos + through NGF</t>
        </r>
      </text>
    </comment>
    <comment ref="K175" authorId="1" shapeId="0" xr:uid="{00000000-0006-0000-0300-000058000000}">
      <text>
        <r>
          <rPr>
            <b/>
            <sz val="9"/>
            <color indexed="81"/>
            <rFont val="Tahoma"/>
            <family val="2"/>
          </rPr>
          <t>Stilerman:</t>
        </r>
        <r>
          <rPr>
            <sz val="9"/>
            <color indexed="81"/>
            <rFont val="Tahoma"/>
            <family val="2"/>
          </rPr>
          <t xml:space="preserve">
+ 400 אייר.
+ 50 סיון</t>
        </r>
      </text>
    </comment>
    <comment ref="C176" authorId="0" shapeId="0" xr:uid="{74395ADC-89DF-45FA-B0BB-14C451D8DB7C}">
      <text>
        <r>
          <rPr>
            <b/>
            <sz val="9"/>
            <color indexed="81"/>
            <rFont val="Tahoma"/>
            <family val="2"/>
          </rPr>
          <t>Klal Yisrael:</t>
        </r>
        <r>
          <rPr>
            <sz val="9"/>
            <color indexed="81"/>
            <rFont val="Tahoma"/>
            <family val="2"/>
          </rPr>
          <t xml:space="preserve">
Akiva Axelbaum
Sept 9 2021</t>
        </r>
      </text>
    </comment>
    <comment ref="C177" authorId="0" shapeId="0" xr:uid="{42FFACA1-F63D-4309-BAE6-450E84664EB0}">
      <text>
        <r>
          <rPr>
            <b/>
            <sz val="9"/>
            <color indexed="81"/>
            <rFont val="Tahoma"/>
            <family val="2"/>
          </rPr>
          <t>Klal Yisrael:</t>
        </r>
        <r>
          <rPr>
            <sz val="9"/>
            <color indexed="81"/>
            <rFont val="Tahoma"/>
            <family val="2"/>
          </rPr>
          <t xml:space="preserve">
total $360 - on Reb Yitzi Web Campaign</t>
        </r>
      </text>
    </comment>
    <comment ref="I177" authorId="0" shapeId="0" xr:uid="{00000000-0006-0000-0300-000059000000}">
      <text>
        <r>
          <rPr>
            <b/>
            <sz val="9"/>
            <color indexed="81"/>
            <rFont val="Tahoma"/>
            <family val="2"/>
          </rPr>
          <t>Klal Yisrael:</t>
        </r>
        <r>
          <rPr>
            <sz val="9"/>
            <color indexed="81"/>
            <rFont val="Tahoma"/>
            <family val="2"/>
          </rPr>
          <t xml:space="preserve">
טו בשבו</t>
        </r>
      </text>
    </comment>
    <comment ref="B178" authorId="0" shapeId="0" xr:uid="{D0650A43-4817-4762-90BF-FA806543E3A8}">
      <text>
        <r>
          <rPr>
            <b/>
            <sz val="9"/>
            <color indexed="81"/>
            <rFont val="Tahoma"/>
            <family val="2"/>
          </rPr>
          <t>Klal Yisrael:</t>
        </r>
        <r>
          <rPr>
            <sz val="9"/>
            <color indexed="81"/>
            <rFont val="Tahoma"/>
            <family val="2"/>
          </rPr>
          <t xml:space="preserve">
£ 35</t>
        </r>
      </text>
    </comment>
    <comment ref="C179" authorId="0" shapeId="0" xr:uid="{AEAA2697-4F08-40E0-A36C-B5E6206A40D6}">
      <text>
        <r>
          <rPr>
            <b/>
            <sz val="9"/>
            <color indexed="81"/>
            <rFont val="Tahoma"/>
            <family val="2"/>
          </rPr>
          <t>Klal Yisrael:</t>
        </r>
        <r>
          <rPr>
            <sz val="9"/>
            <color indexed="81"/>
            <rFont val="Tahoma"/>
            <family val="2"/>
          </rPr>
          <t xml:space="preserve">
With Gedaliah Rabinowitz - Reb Yizi</t>
        </r>
      </text>
    </comment>
    <comment ref="C181" authorId="0" shapeId="0" xr:uid="{E1081F12-8E58-4465-BF9D-87A978DA1AB6}">
      <text>
        <r>
          <rPr>
            <b/>
            <sz val="9"/>
            <color indexed="81"/>
            <rFont val="Tahoma"/>
            <family val="2"/>
          </rPr>
          <t xml:space="preserve">Klal Yisrael:
</t>
        </r>
        <r>
          <rPr>
            <sz val="9"/>
            <color indexed="81"/>
            <rFont val="Tahoma"/>
            <family val="2"/>
          </rPr>
          <t>Starting June 2021 - this is Rabbi Caplan personal donation</t>
        </r>
      </text>
    </comment>
    <comment ref="F181" authorId="0" shapeId="0" xr:uid="{DE414035-11DF-4D08-B481-0FB550B25D08}">
      <text>
        <r>
          <rPr>
            <b/>
            <sz val="9"/>
            <color indexed="81"/>
            <rFont val="Tahoma"/>
            <family val="2"/>
          </rPr>
          <t xml:space="preserve">Klal Yisrael:
</t>
        </r>
        <r>
          <rPr>
            <sz val="9"/>
            <color indexed="81"/>
            <rFont val="Tahoma"/>
            <family val="2"/>
          </rPr>
          <t>next 7 months</t>
        </r>
      </text>
    </comment>
    <comment ref="C182" authorId="0" shapeId="0" xr:uid="{2DE942A3-F240-49BF-B590-ABD5630D65D3}">
      <text>
        <r>
          <rPr>
            <b/>
            <sz val="9"/>
            <color indexed="81"/>
            <rFont val="Tahoma"/>
            <family val="2"/>
          </rPr>
          <t xml:space="preserve">Klal Yisrael:
</t>
        </r>
        <r>
          <rPr>
            <sz val="9"/>
            <color indexed="81"/>
            <rFont val="Tahoma"/>
            <family val="2"/>
          </rPr>
          <t>Through April 2021</t>
        </r>
      </text>
    </comment>
    <comment ref="D182" authorId="0" shapeId="0" xr:uid="{7E1B8D7C-F08C-4B04-A196-CA92D8E4A2A0}">
      <text>
        <r>
          <rPr>
            <b/>
            <sz val="9"/>
            <color indexed="81"/>
            <rFont val="Tahoma"/>
            <family val="2"/>
          </rPr>
          <t xml:space="preserve">Klal Yisrael:
</t>
        </r>
        <r>
          <rPr>
            <sz val="9"/>
            <color indexed="81"/>
            <rFont val="Tahoma"/>
            <family val="2"/>
          </rPr>
          <t>Through Feb 2021</t>
        </r>
      </text>
    </comment>
    <comment ref="F182" authorId="0" shapeId="0" xr:uid="{8A2B4129-B50D-40F2-B815-798CC70F8265}">
      <text>
        <r>
          <rPr>
            <b/>
            <sz val="9"/>
            <color indexed="81"/>
            <rFont val="Tahoma"/>
            <family val="2"/>
          </rPr>
          <t xml:space="preserve">Klal Yisrael:
</t>
        </r>
        <r>
          <rPr>
            <sz val="9"/>
            <color indexed="81"/>
            <rFont val="Tahoma"/>
            <family val="2"/>
          </rPr>
          <t>next 25 months</t>
        </r>
      </text>
    </comment>
    <comment ref="O182" authorId="1" shapeId="0" xr:uid="{00000000-0006-0000-0300-00005A000000}">
      <text>
        <r>
          <rPr>
            <b/>
            <sz val="9"/>
            <color indexed="81"/>
            <rFont val="Tahoma"/>
            <family val="2"/>
          </rPr>
          <t>Stilerman:</t>
        </r>
        <r>
          <rPr>
            <sz val="9"/>
            <color indexed="81"/>
            <rFont val="Tahoma"/>
            <family val="2"/>
          </rPr>
          <t xml:space="preserve">
Shmuli need to give</t>
        </r>
      </text>
    </comment>
    <comment ref="C183" authorId="0" shapeId="0" xr:uid="{AC51E640-DCA2-4395-9AD8-D8675F136001}">
      <text>
        <r>
          <rPr>
            <b/>
            <sz val="9"/>
            <color indexed="81"/>
            <rFont val="Tahoma"/>
            <family val="2"/>
          </rPr>
          <t>Klal Yisrael:</t>
        </r>
        <r>
          <rPr>
            <sz val="9"/>
            <color indexed="81"/>
            <rFont val="Tahoma"/>
            <family val="2"/>
          </rPr>
          <t xml:space="preserve">
With Gedaliah Rabinowitz - Reb Yizi</t>
        </r>
      </text>
    </comment>
    <comment ref="B184" authorId="0" shapeId="0" xr:uid="{63677CC6-6C28-4FAA-9195-4EF8A8B1066A}">
      <text>
        <r>
          <rPr>
            <b/>
            <sz val="9"/>
            <color indexed="81"/>
            <rFont val="Tahoma"/>
            <family val="2"/>
          </rPr>
          <t>Klal Yisrael:</t>
        </r>
        <r>
          <rPr>
            <sz val="9"/>
            <color indexed="81"/>
            <rFont val="Tahoma"/>
            <family val="2"/>
          </rPr>
          <t xml:space="preserve">
Confused - was told $5 monthly</t>
        </r>
      </text>
    </comment>
    <comment ref="H185" authorId="0" shapeId="0" xr:uid="{00000000-0006-0000-0300-00005B000000}">
      <text>
        <r>
          <rPr>
            <b/>
            <sz val="9"/>
            <color indexed="81"/>
            <rFont val="Tahoma"/>
            <family val="2"/>
          </rPr>
          <t>Klal Yisrael:</t>
        </r>
        <r>
          <rPr>
            <sz val="9"/>
            <color indexed="81"/>
            <rFont val="Tahoma"/>
            <family val="2"/>
          </rPr>
          <t xml:space="preserve">
Sucas - For Reb Yitzy</t>
        </r>
      </text>
    </comment>
    <comment ref="C186" authorId="0" shapeId="0" xr:uid="{BE20D07C-5F62-4FD0-ADEB-3B1550EB98C2}">
      <text>
        <r>
          <rPr>
            <b/>
            <sz val="9"/>
            <color indexed="81"/>
            <rFont val="Tahoma"/>
            <family val="2"/>
          </rPr>
          <t>Klal Yisrael:</t>
        </r>
        <r>
          <rPr>
            <sz val="9"/>
            <color indexed="81"/>
            <rFont val="Tahoma"/>
            <family val="2"/>
          </rPr>
          <t xml:space="preserve">
See below</t>
        </r>
      </text>
    </comment>
    <comment ref="D186" authorId="0" shapeId="0" xr:uid="{E9FB1C8D-97D9-4B6A-88D3-9C1F51D1D974}">
      <text>
        <r>
          <rPr>
            <b/>
            <sz val="9"/>
            <color indexed="81"/>
            <rFont val="Tahoma"/>
            <family val="2"/>
          </rPr>
          <t>Klal Yisrael:</t>
        </r>
        <r>
          <rPr>
            <sz val="9"/>
            <color indexed="81"/>
            <rFont val="Tahoma"/>
            <family val="2"/>
          </rPr>
          <t xml:space="preserve">
See below</t>
        </r>
      </text>
    </comment>
    <comment ref="F186" authorId="0" shapeId="0" xr:uid="{FBEEFC5E-DAD8-4930-95C2-9CA671366EC5}">
      <text>
        <r>
          <rPr>
            <b/>
            <sz val="9"/>
            <color indexed="81"/>
            <rFont val="Tahoma"/>
            <family val="2"/>
          </rPr>
          <t>Klal Yisrael:</t>
        </r>
        <r>
          <rPr>
            <sz val="9"/>
            <color indexed="81"/>
            <rFont val="Tahoma"/>
            <family val="2"/>
          </rPr>
          <t xml:space="preserve">
See below</t>
        </r>
      </text>
    </comment>
    <comment ref="C187" authorId="0" shapeId="0" xr:uid="{1043CCD9-78D1-40A9-9FC2-9CB532E384F3}">
      <text>
        <r>
          <rPr>
            <b/>
            <sz val="9"/>
            <color indexed="81"/>
            <rFont val="Tahoma"/>
            <family val="2"/>
          </rPr>
          <t>Klal Yisrael:</t>
        </r>
        <r>
          <rPr>
            <sz val="9"/>
            <color indexed="81"/>
            <rFont val="Tahoma"/>
            <family val="2"/>
          </rPr>
          <t xml:space="preserve">
With Zevi Katz - Reb Yizi</t>
        </r>
      </text>
    </comment>
    <comment ref="C188" authorId="0" shapeId="0" xr:uid="{F4A0BF05-46C3-46B1-972A-6FB2328F5780}">
      <text>
        <r>
          <rPr>
            <b/>
            <sz val="9"/>
            <color indexed="81"/>
            <rFont val="Tahoma"/>
            <family val="2"/>
          </rPr>
          <t>Klal Yisrael:</t>
        </r>
        <r>
          <rPr>
            <sz val="9"/>
            <color indexed="81"/>
            <rFont val="Tahoma"/>
            <family val="2"/>
          </rPr>
          <t xml:space="preserve">
$100 - on Reb Yitzi Web Campaign</t>
        </r>
      </text>
    </comment>
    <comment ref="C191" authorId="0" shapeId="0" xr:uid="{4398EF92-DBBC-4A15-8079-59E19DF4E47C}">
      <text>
        <r>
          <rPr>
            <b/>
            <sz val="9"/>
            <color indexed="81"/>
            <rFont val="Tahoma"/>
            <family val="2"/>
          </rPr>
          <t>Klal Yisrael:</t>
        </r>
        <r>
          <rPr>
            <sz val="9"/>
            <color indexed="81"/>
            <rFont val="Tahoma"/>
            <family val="2"/>
          </rPr>
          <t xml:space="preserve">
total $144 - on Reb Yitzi Web Campaign</t>
        </r>
      </text>
    </comment>
    <comment ref="F192" authorId="0" shapeId="0" xr:uid="{2A745518-2AD8-47E2-B98F-3755DDFEFE59}">
      <text>
        <r>
          <rPr>
            <b/>
            <sz val="9"/>
            <color indexed="81"/>
            <rFont val="Tahoma"/>
            <family val="2"/>
          </rPr>
          <t>Klal Yisrael:</t>
        </r>
        <r>
          <rPr>
            <sz val="9"/>
            <color indexed="81"/>
            <rFont val="Tahoma"/>
            <family val="2"/>
          </rPr>
          <t xml:space="preserve">
At the end - only gave 8 months</t>
        </r>
      </text>
    </comment>
    <comment ref="G192" authorId="0" shapeId="0" xr:uid="{D0BBA517-6A01-4BDD-B287-91F8DCE2A98C}">
      <text>
        <r>
          <rPr>
            <b/>
            <sz val="9"/>
            <color indexed="81"/>
            <rFont val="Tahoma"/>
            <family val="2"/>
          </rPr>
          <t>Klal Yisrael:</t>
        </r>
        <r>
          <rPr>
            <sz val="9"/>
            <color indexed="81"/>
            <rFont val="Tahoma"/>
            <family val="2"/>
          </rPr>
          <t xml:space="preserve">
For Meir חתונה</t>
        </r>
      </text>
    </comment>
    <comment ref="C193" authorId="0" shapeId="0" xr:uid="{54ABC44D-3C55-4510-A362-DCF57E1A3ADB}">
      <text>
        <r>
          <rPr>
            <b/>
            <sz val="9"/>
            <color indexed="81"/>
            <rFont val="Tahoma"/>
            <family val="2"/>
          </rPr>
          <t>Klal Yisrael:</t>
        </r>
        <r>
          <rPr>
            <sz val="9"/>
            <color indexed="81"/>
            <rFont val="Tahoma"/>
            <family val="2"/>
          </rPr>
          <t xml:space="preserve">
With Zevi Katz - Reb Yizi</t>
        </r>
      </text>
    </comment>
    <comment ref="D195" authorId="0" shapeId="0" xr:uid="{3548078A-D816-47F1-99BE-7C5777F75D8E}">
      <text>
        <r>
          <rPr>
            <b/>
            <sz val="9"/>
            <color indexed="81"/>
            <rFont val="Tahoma"/>
            <family val="2"/>
          </rPr>
          <t xml:space="preserve">Klal Yisrael:
</t>
        </r>
        <r>
          <rPr>
            <sz val="9"/>
            <color indexed="81"/>
            <rFont val="Tahoma"/>
            <family val="2"/>
          </rPr>
          <t>Removed $36</t>
        </r>
        <r>
          <rPr>
            <b/>
            <sz val="9"/>
            <color indexed="81"/>
            <rFont val="Tahoma"/>
            <family val="2"/>
          </rPr>
          <t xml:space="preserve">
</t>
        </r>
        <r>
          <rPr>
            <sz val="9"/>
            <color indexed="81"/>
            <rFont val="Tahoma"/>
            <family val="2"/>
          </rPr>
          <t>12 months</t>
        </r>
      </text>
    </comment>
    <comment ref="D196" authorId="0" shapeId="0" xr:uid="{0F891A42-9B55-4FE6-A3D3-B8EBEF370C37}">
      <text>
        <r>
          <rPr>
            <b/>
            <sz val="9"/>
            <color indexed="81"/>
            <rFont val="Tahoma"/>
            <family val="2"/>
          </rPr>
          <t xml:space="preserve">Klal Yisrael:
</t>
        </r>
        <r>
          <rPr>
            <sz val="9"/>
            <color indexed="81"/>
            <rFont val="Tahoma"/>
            <family val="2"/>
          </rPr>
          <t>12 months</t>
        </r>
      </text>
    </comment>
    <comment ref="F196" authorId="0" shapeId="0" xr:uid="{BF46EA62-5A7B-4C4F-8EE9-9A042AAD2A1D}">
      <text>
        <r>
          <rPr>
            <b/>
            <sz val="9"/>
            <color indexed="81"/>
            <rFont val="Tahoma"/>
            <family val="2"/>
          </rPr>
          <t xml:space="preserve">Klal Yisrael:
</t>
        </r>
        <r>
          <rPr>
            <sz val="9"/>
            <color indexed="81"/>
            <rFont val="Tahoma"/>
            <family val="2"/>
          </rPr>
          <t>12 months</t>
        </r>
      </text>
    </comment>
    <comment ref="D197" authorId="0" shapeId="0" xr:uid="{AA533374-2AD2-48B8-8A77-1E37D697D8BA}">
      <text>
        <r>
          <rPr>
            <b/>
            <sz val="9"/>
            <color indexed="81"/>
            <rFont val="Tahoma"/>
            <family val="2"/>
          </rPr>
          <t>Klal Yisrael:</t>
        </r>
        <r>
          <rPr>
            <sz val="9"/>
            <color indexed="81"/>
            <rFont val="Tahoma"/>
            <family val="2"/>
          </rPr>
          <t xml:space="preserve">
Dec 27 2020</t>
        </r>
      </text>
    </comment>
    <comment ref="C198" authorId="0" shapeId="0" xr:uid="{0DDC232A-66C0-44F1-A62E-A2531A0F2390}">
      <text>
        <r>
          <rPr>
            <b/>
            <sz val="9"/>
            <color indexed="81"/>
            <rFont val="Tahoma"/>
            <family val="2"/>
          </rPr>
          <t>Klal Yisrael:</t>
        </r>
        <r>
          <rPr>
            <sz val="9"/>
            <color indexed="81"/>
            <rFont val="Tahoma"/>
            <family val="2"/>
          </rPr>
          <t xml:space="preserve">
With Gedaliah Rabinowitz - Reb Yizi</t>
        </r>
      </text>
    </comment>
    <comment ref="C199" authorId="0" shapeId="0" xr:uid="{72075CD9-0817-4C55-A954-13CDF310C000}">
      <text>
        <r>
          <rPr>
            <b/>
            <sz val="9"/>
            <color indexed="81"/>
            <rFont val="Tahoma"/>
            <family val="2"/>
          </rPr>
          <t>Klal Yisrael:</t>
        </r>
        <r>
          <rPr>
            <sz val="9"/>
            <color indexed="81"/>
            <rFont val="Tahoma"/>
            <family val="2"/>
          </rPr>
          <t xml:space="preserve">
was missing from my account - until 10/26</t>
        </r>
      </text>
    </comment>
    <comment ref="F201" authorId="0" shapeId="0" xr:uid="{CAE14F80-9FD0-4570-BFB5-0825BF4131DD}">
      <text>
        <r>
          <rPr>
            <b/>
            <sz val="9"/>
            <color indexed="81"/>
            <rFont val="Tahoma"/>
            <family val="2"/>
          </rPr>
          <t>Klal Yisrael:</t>
        </r>
        <r>
          <rPr>
            <sz val="9"/>
            <color indexed="81"/>
            <rFont val="Tahoma"/>
            <family val="2"/>
          </rPr>
          <t xml:space="preserve">
See below</t>
        </r>
      </text>
    </comment>
    <comment ref="S201" authorId="1" shapeId="0" xr:uid="{00000000-0006-0000-0300-00005C000000}">
      <text>
        <r>
          <rPr>
            <b/>
            <sz val="9"/>
            <color indexed="81"/>
            <rFont val="Tahoma"/>
            <family val="2"/>
          </rPr>
          <t>Stilerman:</t>
        </r>
        <r>
          <rPr>
            <sz val="9"/>
            <color indexed="81"/>
            <rFont val="Tahoma"/>
            <family val="2"/>
          </rPr>
          <t xml:space="preserve">
not counting
1) AIC $1,000
2) YSS $1,000
3) YL $400
4) Rav YC $300</t>
        </r>
      </text>
    </comment>
    <comment ref="E202" authorId="0" shapeId="0" xr:uid="{00000000-0006-0000-0300-00005D000000}">
      <text>
        <r>
          <rPr>
            <b/>
            <sz val="9"/>
            <color indexed="81"/>
            <rFont val="Tahoma"/>
            <family val="2"/>
          </rPr>
          <t>Klal Yisrael:</t>
        </r>
        <r>
          <rPr>
            <sz val="9"/>
            <color indexed="81"/>
            <rFont val="Tahoma"/>
            <family val="2"/>
          </rPr>
          <t xml:space="preserve">
For Ita חתונה</t>
        </r>
      </text>
    </comment>
    <comment ref="H202" authorId="0" shapeId="0" xr:uid="{936E6681-9A0E-4524-A343-08675627CC87}">
      <text>
        <r>
          <rPr>
            <b/>
            <sz val="9"/>
            <color indexed="81"/>
            <rFont val="Tahoma"/>
            <family val="2"/>
          </rPr>
          <t>Klal Yisrael:</t>
        </r>
        <r>
          <rPr>
            <sz val="9"/>
            <color indexed="81"/>
            <rFont val="Tahoma"/>
            <family val="2"/>
          </rPr>
          <t xml:space="preserve">
$10 not renewed - contact Noam</t>
        </r>
      </text>
    </comment>
    <comment ref="C205" authorId="0" shapeId="0" xr:uid="{D2E9F826-2A83-40A2-A19B-530E0569355F}">
      <text>
        <r>
          <rPr>
            <b/>
            <sz val="9"/>
            <color indexed="81"/>
            <rFont val="Tahoma"/>
            <family val="2"/>
          </rPr>
          <t>Klal Yisrael:</t>
        </r>
        <r>
          <rPr>
            <sz val="9"/>
            <color indexed="81"/>
            <rFont val="Tahoma"/>
            <family val="2"/>
          </rPr>
          <t xml:space="preserve">
1) $836 (36+200+118+32) anonymous on web campaign - Jan 12
2) Added 450+18
was missing from my account - until 10/26</t>
        </r>
      </text>
    </comment>
    <comment ref="J205" authorId="1" shapeId="0" xr:uid="{00000000-0006-0000-0300-00005E000000}">
      <text>
        <r>
          <rPr>
            <b/>
            <sz val="9"/>
            <color indexed="81"/>
            <rFont val="Tahoma"/>
            <family val="2"/>
          </rPr>
          <t>Stilerman:</t>
        </r>
        <r>
          <rPr>
            <sz val="9"/>
            <color indexed="81"/>
            <rFont val="Tahoma"/>
            <family val="2"/>
          </rPr>
          <t xml:space="preserve">
1) 200
1) $100 beginning of אייר</t>
        </r>
      </text>
    </comment>
    <comment ref="C206" authorId="0" shapeId="0" xr:uid="{1CCA3834-5865-41CF-A1BE-ECBF84FB4C0C}">
      <text>
        <r>
          <rPr>
            <b/>
            <sz val="9"/>
            <color indexed="81"/>
            <rFont val="Tahoma"/>
            <family val="2"/>
          </rPr>
          <t>Klal Yisrael:</t>
        </r>
        <r>
          <rPr>
            <sz val="9"/>
            <color indexed="81"/>
            <rFont val="Tahoma"/>
            <family val="2"/>
          </rPr>
          <t xml:space="preserve">
on web campaign - Jan 12
Minus - because of matching</t>
        </r>
      </text>
    </comment>
    <comment ref="I206" authorId="0" shapeId="0" xr:uid="{00000000-0006-0000-0300-00005F000000}">
      <text>
        <r>
          <rPr>
            <b/>
            <sz val="9"/>
            <color indexed="81"/>
            <rFont val="Tahoma"/>
            <family val="2"/>
          </rPr>
          <t>Klal Yisrael:</t>
        </r>
        <r>
          <rPr>
            <sz val="9"/>
            <color indexed="81"/>
            <rFont val="Tahoma"/>
            <family val="2"/>
          </rPr>
          <t xml:space="preserve">
give to sombody it Yity Chaburah</t>
        </r>
      </text>
    </comment>
    <comment ref="S214" authorId="0" shapeId="0" xr:uid="{89654940-D653-4696-8917-3D75C9D9BBA4}">
      <text>
        <r>
          <rPr>
            <b/>
            <sz val="9"/>
            <color indexed="81"/>
            <rFont val="Tahoma"/>
            <family val="2"/>
          </rPr>
          <t>Klal Yisrael:</t>
        </r>
        <r>
          <rPr>
            <sz val="9"/>
            <color indexed="81"/>
            <rFont val="Tahoma"/>
            <family val="2"/>
          </rPr>
          <t xml:space="preserve">
Plus $1,000 - my credit card</t>
        </r>
      </text>
    </comment>
    <comment ref="H217" authorId="0" shapeId="0" xr:uid="{D3DF4D1A-B0D6-4F32-9AFF-A9328CAD159F}">
      <text>
        <r>
          <rPr>
            <b/>
            <sz val="9"/>
            <color indexed="81"/>
            <rFont val="Tahoma"/>
            <family val="2"/>
          </rPr>
          <t>Klal Yisrael:</t>
        </r>
        <r>
          <rPr>
            <sz val="9"/>
            <color indexed="81"/>
            <rFont val="Tahoma"/>
            <family val="2"/>
          </rPr>
          <t xml:space="preserve">
$300 From AYS - though NGF on june 23</t>
        </r>
      </text>
    </comment>
    <comment ref="J217" authorId="0" shapeId="0" xr:uid="{9E9BE41D-A4EF-4FF2-A200-8D1E982B9A86}">
      <text>
        <r>
          <rPr>
            <b/>
            <sz val="9"/>
            <color indexed="81"/>
            <rFont val="Tahoma"/>
            <family val="2"/>
          </rPr>
          <t>Klal Yisrael:</t>
        </r>
        <r>
          <rPr>
            <sz val="9"/>
            <color indexed="81"/>
            <rFont val="Tahoma"/>
            <family val="2"/>
          </rPr>
          <t xml:space="preserve">
???</t>
        </r>
      </text>
    </comment>
    <comment ref="V217" authorId="0" shapeId="0" xr:uid="{00000000-0006-0000-0300-000060000000}">
      <text>
        <r>
          <rPr>
            <b/>
            <sz val="9"/>
            <color indexed="81"/>
            <rFont val="Tahoma"/>
            <family val="2"/>
          </rPr>
          <t>Klal Yisrael:</t>
        </r>
        <r>
          <rPr>
            <sz val="9"/>
            <color indexed="81"/>
            <rFont val="Tahoma"/>
            <family val="2"/>
          </rPr>
          <t xml:space="preserve">
1) AYS
2) Bother-in-law
3) Bother-in-law
4) Bother-in-law
5) Bother-in-law B4 ראש השנה.
$2,650
+ 7,380₪/3.66 = $2,016
</t>
        </r>
      </text>
    </comment>
    <comment ref="S218" authorId="0" shapeId="0" xr:uid="{00000000-0006-0000-0300-000061000000}">
      <text>
        <r>
          <rPr>
            <b/>
            <sz val="9"/>
            <color indexed="81"/>
            <rFont val="Tahoma"/>
            <family val="2"/>
          </rPr>
          <t>Klal Yisrael:</t>
        </r>
        <r>
          <rPr>
            <sz val="9"/>
            <color indexed="81"/>
            <rFont val="Tahoma"/>
            <family val="2"/>
          </rPr>
          <t xml:space="preserve">
1) Abe Orzel pleges $1000
2) Dovi Halberstam pleges $1000
3) From Heitner</t>
        </r>
      </text>
    </comment>
    <comment ref="W218" authorId="0" shapeId="0" xr:uid="{00000000-0006-0000-0300-000062000000}">
      <text>
        <r>
          <rPr>
            <b/>
            <sz val="9"/>
            <color indexed="81"/>
            <rFont val="Tahoma"/>
            <family val="2"/>
          </rPr>
          <t>Klal Yisrael:</t>
        </r>
        <r>
          <rPr>
            <sz val="9"/>
            <color indexed="81"/>
            <rFont val="Tahoma"/>
            <family val="2"/>
          </rPr>
          <t xml:space="preserve">
For omigo!
10,000 - 5%
-$500
$9,500</t>
        </r>
      </text>
    </comment>
    <comment ref="Z218" authorId="0" shapeId="0" xr:uid="{00000000-0006-0000-0300-000063000000}">
      <text>
        <r>
          <rPr>
            <b/>
            <sz val="9"/>
            <color indexed="81"/>
            <rFont val="Tahoma"/>
            <family val="2"/>
          </rPr>
          <t>Klal Yisrael:</t>
        </r>
        <r>
          <rPr>
            <sz val="9"/>
            <color indexed="81"/>
            <rFont val="Tahoma"/>
            <family val="2"/>
          </rPr>
          <t xml:space="preserve">
1) Heitner + heimowitz
2) Tratner</t>
        </r>
      </text>
    </comment>
    <comment ref="W219" authorId="0" shapeId="0" xr:uid="{00000000-0006-0000-0300-000064000000}">
      <text>
        <r>
          <rPr>
            <b/>
            <sz val="9"/>
            <color indexed="81"/>
            <rFont val="Tahoma"/>
            <family val="2"/>
          </rPr>
          <t>Klal Yisrael:</t>
        </r>
        <r>
          <rPr>
            <sz val="9"/>
            <color indexed="81"/>
            <rFont val="Tahoma"/>
            <family val="2"/>
          </rPr>
          <t xml:space="preserve">
$250- That I said I would pay - for Rosh Chodesh Shvat</t>
        </r>
      </text>
    </comment>
    <comment ref="D220" authorId="0" shapeId="0" xr:uid="{D48186F5-1630-4868-B243-0E90604EBAF6}">
      <text>
        <r>
          <rPr>
            <b/>
            <sz val="9"/>
            <color indexed="81"/>
            <rFont val="Tahoma"/>
            <family val="2"/>
          </rPr>
          <t>Klal Yisrael:</t>
        </r>
        <r>
          <rPr>
            <sz val="9"/>
            <color indexed="81"/>
            <rFont val="Tahoma"/>
            <family val="2"/>
          </rPr>
          <t xml:space="preserve">
You can leave the money there, and slowly receive it over 18 months.
Started Rosh Chodesh Adar 2018
- Last time: Rosh Chodesh Tamus 2019
(11 times last year - 7 times this year</t>
        </r>
      </text>
    </comment>
    <comment ref="K220" authorId="0" shapeId="0" xr:uid="{B9936620-4739-4574-BC6D-8A75C1E95E97}">
      <text>
        <r>
          <rPr>
            <b/>
            <sz val="9"/>
            <color indexed="81"/>
            <rFont val="Tahoma"/>
            <family val="2"/>
          </rPr>
          <t>Klal Yisrael:</t>
        </r>
        <r>
          <rPr>
            <sz val="9"/>
            <color indexed="81"/>
            <rFont val="Tahoma"/>
            <family val="2"/>
          </rPr>
          <t xml:space="preserve">
received 7 months at $250</t>
        </r>
      </text>
    </comment>
    <comment ref="S220" authorId="0" shapeId="0" xr:uid="{00000000-0006-0000-0300-000065000000}">
      <text>
        <r>
          <rPr>
            <b/>
            <sz val="9"/>
            <color indexed="81"/>
            <rFont val="Tahoma"/>
            <family val="2"/>
          </rPr>
          <t>Klal Yisrael:</t>
        </r>
        <r>
          <rPr>
            <sz val="9"/>
            <color indexed="81"/>
            <rFont val="Tahoma"/>
            <family val="2"/>
          </rPr>
          <t xml:space="preserve">
from himself
Monthly (Rosh Chodesh Adar, Nissan, Iyar, Sivan) $150</t>
        </r>
      </text>
    </comment>
    <comment ref="J221" authorId="0" shapeId="0" xr:uid="{288E80E7-8896-4F48-B956-0842D0447E36}">
      <text>
        <r>
          <rPr>
            <b/>
            <sz val="9"/>
            <color indexed="81"/>
            <rFont val="Tahoma"/>
            <family val="2"/>
          </rPr>
          <t>Klal Yisrael:</t>
        </r>
        <r>
          <rPr>
            <sz val="9"/>
            <color indexed="81"/>
            <rFont val="Tahoma"/>
            <family val="2"/>
          </rPr>
          <t xml:space="preserve">
1) From Ginzberg $250
2) Through Mordechi $200 - June 12
3) Through Asher W. $40 - June 12
4) Hager - $100
5) Through Mordechi 500 sh ($141) - July 4</t>
        </r>
      </text>
    </comment>
    <comment ref="AH221" authorId="1" shapeId="0" xr:uid="{00000000-0006-0000-0300-000067000000}">
      <text>
        <r>
          <rPr>
            <b/>
            <sz val="9"/>
            <color indexed="81"/>
            <rFont val="Tahoma"/>
            <family val="2"/>
          </rPr>
          <t>Stilerman:</t>
        </r>
        <r>
          <rPr>
            <sz val="9"/>
            <color indexed="81"/>
            <rFont val="Tahoma"/>
            <family val="2"/>
          </rPr>
          <t xml:space="preserve">
Heitner + Blobstein (for me)</t>
        </r>
      </text>
    </comment>
    <comment ref="J222" authorId="0" shapeId="0" xr:uid="{CF846DB3-6CB2-4CE4-8F96-58BF4AC9D748}">
      <text>
        <r>
          <rPr>
            <b/>
            <sz val="9"/>
            <color indexed="81"/>
            <rFont val="Tahoma"/>
            <family val="2"/>
          </rPr>
          <t>Klal Yisrael:</t>
        </r>
        <r>
          <rPr>
            <sz val="9"/>
            <color indexed="81"/>
            <rFont val="Tahoma"/>
            <family val="2"/>
          </rPr>
          <t xml:space="preserve">
Schwimmer, for 5 more months</t>
        </r>
      </text>
    </comment>
    <comment ref="N222" authorId="0" shapeId="0" xr:uid="{4874C2C6-38E4-4C51-869A-5C9FEB2F7847}">
      <text>
        <r>
          <rPr>
            <b/>
            <sz val="9"/>
            <color indexed="81"/>
            <rFont val="Tahoma"/>
            <family val="2"/>
          </rPr>
          <t>Klal Yisrael:</t>
        </r>
        <r>
          <rPr>
            <sz val="9"/>
            <color indexed="81"/>
            <rFont val="Tahoma"/>
            <family val="2"/>
          </rPr>
          <t xml:space="preserve">
1) 12,000 for year
2) Gave $4,000 (though Techyeinu, that was Baum and switched)
3) $1,858 (though Akiva Friedman, that was Baum and switched)
4) $4,300 - Gave sucos 2019
5) Gave 2500 from NGF - bought it out</t>
        </r>
      </text>
    </comment>
    <comment ref="W222" authorId="0" shapeId="0" xr:uid="{00000000-0006-0000-0300-000068000000}">
      <text>
        <r>
          <rPr>
            <b/>
            <sz val="9"/>
            <color indexed="81"/>
            <rFont val="Tahoma"/>
            <family val="2"/>
          </rPr>
          <t>Klal Yisrael:</t>
        </r>
        <r>
          <rPr>
            <sz val="9"/>
            <color indexed="81"/>
            <rFont val="Tahoma"/>
            <family val="2"/>
          </rPr>
          <t xml:space="preserve">
1) Extra $800
2) + $161 from last year.
3) paid $1,000 פסח.
He owes the pot $39</t>
        </r>
      </text>
    </comment>
    <comment ref="Z222" authorId="0" shapeId="0" xr:uid="{00000000-0006-0000-0300-000066000000}">
      <text>
        <r>
          <rPr>
            <b/>
            <sz val="9"/>
            <color indexed="81"/>
            <rFont val="Tahoma"/>
            <family val="2"/>
          </rPr>
          <t>Klal Yisrael:</t>
        </r>
        <r>
          <rPr>
            <sz val="9"/>
            <color indexed="81"/>
            <rFont val="Tahoma"/>
            <family val="2"/>
          </rPr>
          <t xml:space="preserve">
1) $6,000 One time - beginning of june
2) Gave $4,000 by סוכות תשעט.
3) Plans to give $2,000 for פסח תשעט (unless he ups his יששכר זבולון)</t>
        </r>
      </text>
    </comment>
    <comment ref="AI222" authorId="1" shapeId="0" xr:uid="{00000000-0006-0000-0300-000069000000}">
      <text>
        <r>
          <rPr>
            <b/>
            <sz val="9"/>
            <color indexed="81"/>
            <rFont val="Tahoma"/>
            <family val="2"/>
          </rPr>
          <t>Stilerman:</t>
        </r>
        <r>
          <rPr>
            <sz val="9"/>
            <color indexed="81"/>
            <rFont val="Tahoma"/>
            <family val="2"/>
          </rPr>
          <t xml:space="preserve">
1) $900 gave in תמוז
2) $99 from Dani to his paypal - 9/11/19
3) $1000 before sucas</t>
        </r>
      </text>
    </comment>
    <comment ref="D223" authorId="0" shapeId="0" xr:uid="{A65A25BF-8DB3-4A1C-A614-6F8128EC5C60}">
      <text>
        <r>
          <rPr>
            <b/>
            <sz val="9"/>
            <color indexed="81"/>
            <rFont val="Tahoma"/>
            <family val="2"/>
          </rPr>
          <t>Klal Yisrael:</t>
        </r>
        <r>
          <rPr>
            <sz val="9"/>
            <color indexed="81"/>
            <rFont val="Tahoma"/>
            <family val="2"/>
          </rPr>
          <t xml:space="preserve">
Received 8 months - stoped before Elul</t>
        </r>
      </text>
    </comment>
    <comment ref="R224" authorId="0" shapeId="0" xr:uid="{00000000-0006-0000-0300-00006A000000}">
      <text>
        <r>
          <rPr>
            <b/>
            <sz val="9"/>
            <color indexed="81"/>
            <rFont val="Tahoma"/>
            <family val="2"/>
          </rPr>
          <t>Klal Yisrael:</t>
        </r>
        <r>
          <rPr>
            <sz val="9"/>
            <color indexed="81"/>
            <rFont val="Tahoma"/>
            <family val="2"/>
          </rPr>
          <t xml:space="preserve">
Gave $300 for שבט</t>
        </r>
      </text>
    </comment>
    <comment ref="W224" authorId="0" shapeId="0" xr:uid="{00000000-0006-0000-0300-00006B000000}">
      <text>
        <r>
          <rPr>
            <b/>
            <sz val="9"/>
            <color indexed="81"/>
            <rFont val="Tahoma"/>
            <family val="2"/>
          </rPr>
          <t>Klal Yisrael:</t>
        </r>
        <r>
          <rPr>
            <sz val="9"/>
            <color indexed="81"/>
            <rFont val="Tahoma"/>
            <family val="2"/>
          </rPr>
          <t xml:space="preserve">
$600 for 5 months משניות, and douple for yom tov.
Starting: the end of שבט, until the end of סיון.</t>
        </r>
      </text>
    </comment>
    <comment ref="AE224" authorId="2" shapeId="0" xr:uid="{00000000-0006-0000-0300-00006C000000}">
      <text>
        <r>
          <rPr>
            <b/>
            <sz val="9"/>
            <color indexed="81"/>
            <rFont val="Tahoma"/>
            <family val="2"/>
          </rPr>
          <t>stilerman:</t>
        </r>
        <r>
          <rPr>
            <sz val="9"/>
            <color indexed="81"/>
            <rFont val="Tahoma"/>
            <family val="2"/>
          </rPr>
          <t xml:space="preserve">
1) $200 - from M gold (FE Stern)
2) $300 - from M gold
3) $1000 - from M gold father
+ another $500
4) 100 - gorden
5) 400 - gorden
6) 54 - rabinowitz</t>
        </r>
      </text>
    </comment>
    <comment ref="AI224" authorId="1" shapeId="0" xr:uid="{00000000-0006-0000-0300-00006D000000}">
      <text>
        <r>
          <rPr>
            <b/>
            <sz val="9"/>
            <color indexed="81"/>
            <rFont val="Tahoma"/>
            <family val="2"/>
          </rPr>
          <t>Stilerman:</t>
        </r>
        <r>
          <rPr>
            <sz val="9"/>
            <color indexed="81"/>
            <rFont val="Tahoma"/>
            <family val="2"/>
          </rPr>
          <t xml:space="preserve">
1) $400 gave before Sucas</t>
        </r>
      </text>
    </comment>
    <comment ref="S225" authorId="0" shapeId="0" xr:uid="{00000000-0006-0000-0300-00006E000000}">
      <text>
        <r>
          <rPr>
            <b/>
            <sz val="9"/>
            <color indexed="81"/>
            <rFont val="Tahoma"/>
            <family val="2"/>
          </rPr>
          <t>Klal Yisrael:</t>
        </r>
        <r>
          <rPr>
            <sz val="9"/>
            <color indexed="81"/>
            <rFont val="Tahoma"/>
            <family val="2"/>
          </rPr>
          <t xml:space="preserve">
1) משניות
2) Heitner</t>
        </r>
      </text>
    </comment>
    <comment ref="W227" authorId="0" shapeId="0" xr:uid="{00000000-0006-0000-0300-00006F000000}">
      <text>
        <r>
          <rPr>
            <b/>
            <sz val="9"/>
            <color indexed="81"/>
            <rFont val="Tahoma"/>
            <family val="2"/>
          </rPr>
          <t>Klal Yisrael:</t>
        </r>
        <r>
          <rPr>
            <sz val="9"/>
            <color indexed="81"/>
            <rFont val="Tahoma"/>
            <family val="2"/>
          </rPr>
          <t xml:space="preserve">
For Sucas 2018
1) Mishnayis (that I switched) $13,050
2) $14,000 (see separate page why)</t>
        </r>
      </text>
    </comment>
    <comment ref="N228" authorId="0" shapeId="0" xr:uid="{AE79C422-8333-4676-80D9-3E369D1703BB}">
      <text>
        <r>
          <rPr>
            <b/>
            <sz val="9"/>
            <color indexed="81"/>
            <rFont val="Tahoma"/>
            <family val="2"/>
          </rPr>
          <t>Klal Yisrael:</t>
        </r>
        <r>
          <rPr>
            <sz val="9"/>
            <color indexed="81"/>
            <rFont val="Tahoma"/>
            <family val="2"/>
          </rPr>
          <t xml:space="preserve">
1) 30,000 my accounts
2) 4,300 to Elisha
</t>
        </r>
        <r>
          <rPr>
            <u/>
            <sz val="9"/>
            <color indexed="81"/>
            <rFont val="Tahoma"/>
            <family val="2"/>
          </rPr>
          <t xml:space="preserve">Chesbon
</t>
        </r>
        <r>
          <rPr>
            <sz val="9"/>
            <color indexed="81"/>
            <rFont val="Tahoma"/>
            <family val="2"/>
          </rPr>
          <t>1) $12,907 Me - to give out for Yom Tov YomTov
2) 17,093 Baum, Switch Techyeinu
3) 4,300 to Elisha</t>
        </r>
      </text>
    </comment>
    <comment ref="D229" authorId="0" shapeId="0" xr:uid="{0C684ADD-6F3F-41AC-86D0-A1EFF2876731}">
      <text>
        <r>
          <rPr>
            <b/>
            <sz val="9"/>
            <color indexed="81"/>
            <rFont val="Tahoma"/>
            <family val="2"/>
          </rPr>
          <t>Klal Yisrael:</t>
        </r>
        <r>
          <rPr>
            <sz val="9"/>
            <color indexed="81"/>
            <rFont val="Tahoma"/>
            <family val="2"/>
          </rPr>
          <t xml:space="preserve">
Stoped before Tishre
9 months</t>
        </r>
      </text>
    </comment>
    <comment ref="S229" authorId="0" shapeId="0" xr:uid="{00000000-0006-0000-0300-000070000000}">
      <text>
        <r>
          <rPr>
            <b/>
            <sz val="9"/>
            <color indexed="81"/>
            <rFont val="Tahoma"/>
            <family val="2"/>
          </rPr>
          <t>Klal Yisrael:</t>
        </r>
        <r>
          <rPr>
            <sz val="9"/>
            <color indexed="81"/>
            <rFont val="Tahoma"/>
            <family val="2"/>
          </rPr>
          <t xml:space="preserve">
1) Father
2) Mishnayis
3) Heitner (50)</t>
        </r>
      </text>
    </comment>
    <comment ref="S230" authorId="0" shapeId="0" xr:uid="{00000000-0006-0000-0300-000071000000}">
      <text>
        <r>
          <rPr>
            <b/>
            <sz val="9"/>
            <color indexed="81"/>
            <rFont val="Tahoma"/>
            <family val="2"/>
          </rPr>
          <t>Klal Yisrael:</t>
        </r>
        <r>
          <rPr>
            <sz val="9"/>
            <color indexed="81"/>
            <rFont val="Tahoma"/>
            <family val="2"/>
          </rPr>
          <t xml:space="preserve">
1) Mishnayis
2) Flam
3) 520 - Heitner</t>
        </r>
      </text>
    </comment>
    <comment ref="N231" authorId="0" shapeId="0" xr:uid="{CBB1C498-19C6-46B4-A15F-44D6BCAB0D40}">
      <text>
        <r>
          <rPr>
            <b/>
            <sz val="9"/>
            <color indexed="81"/>
            <rFont val="Tahoma"/>
            <family val="2"/>
          </rPr>
          <t>Klal Yisrael:</t>
        </r>
        <r>
          <rPr>
            <sz val="9"/>
            <color indexed="81"/>
            <rFont val="Tahoma"/>
            <family val="2"/>
          </rPr>
          <t xml:space="preserve">
1) 75,000 Shekels to my accounts = $20,604
2) plus 750 Shekels for the secetary = $209
</t>
        </r>
        <r>
          <rPr>
            <u/>
            <sz val="9"/>
            <color indexed="81"/>
            <rFont val="Tahoma"/>
            <family val="2"/>
          </rPr>
          <t xml:space="preserve">Chesbon
</t>
        </r>
        <r>
          <rPr>
            <sz val="9"/>
            <color indexed="81"/>
            <rFont val="Tahoma"/>
            <family val="2"/>
          </rPr>
          <t xml:space="preserve">1) Baum: 53,652 Shekels = $14,739.56
2) I paid: 21,348 Shekels = $5864.84
</t>
        </r>
        <r>
          <rPr>
            <u/>
            <sz val="9"/>
            <color indexed="81"/>
            <rFont val="Tahoma"/>
            <family val="2"/>
          </rPr>
          <t>Succas</t>
        </r>
        <r>
          <rPr>
            <sz val="9"/>
            <color indexed="81"/>
            <rFont val="Tahoma"/>
            <family val="2"/>
          </rPr>
          <t>:
$200 for Succas Secratary</t>
        </r>
      </text>
    </comment>
    <comment ref="S231" authorId="0" shapeId="0" xr:uid="{00000000-0006-0000-0300-000073000000}">
      <text>
        <r>
          <rPr>
            <b/>
            <sz val="9"/>
            <color indexed="81"/>
            <rFont val="Tahoma"/>
            <family val="2"/>
          </rPr>
          <t>Klal Yisrael:</t>
        </r>
        <r>
          <rPr>
            <sz val="9"/>
            <color indexed="81"/>
            <rFont val="Tahoma"/>
            <family val="2"/>
          </rPr>
          <t xml:space="preserve">
1) from Dov L.
</t>
        </r>
      </text>
    </comment>
    <comment ref="U231" authorId="0" shapeId="0" xr:uid="{00000000-0006-0000-0300-000074000000}">
      <text>
        <r>
          <rPr>
            <b/>
            <sz val="9"/>
            <color indexed="81"/>
            <rFont val="Tahoma"/>
            <family val="2"/>
          </rPr>
          <t>Klal Yisrael:</t>
        </r>
        <r>
          <rPr>
            <sz val="9"/>
            <color indexed="81"/>
            <rFont val="Tahoma"/>
            <family val="2"/>
          </rPr>
          <t xml:space="preserve">
From ר"ח סיון עח
Therefore 8 months (סיון-טבת)</t>
        </r>
      </text>
    </comment>
    <comment ref="S232" authorId="0" shapeId="0" xr:uid="{00000000-0006-0000-0300-000075000000}">
      <text>
        <r>
          <rPr>
            <b/>
            <sz val="9"/>
            <color indexed="81"/>
            <rFont val="Tahoma"/>
            <family val="2"/>
          </rPr>
          <t>Klal Yisrael:</t>
        </r>
        <r>
          <rPr>
            <sz val="9"/>
            <color indexed="81"/>
            <rFont val="Tahoma"/>
            <family val="2"/>
          </rPr>
          <t xml:space="preserve">
1) Father-in-law
2) Mishnayis
3) Heitner (50)</t>
        </r>
      </text>
    </comment>
    <comment ref="A233" authorId="0" shapeId="0" xr:uid="{53A24D85-D8B4-4F65-ABE5-1247FC0EEABC}">
      <text>
        <r>
          <rPr>
            <b/>
            <sz val="9"/>
            <color indexed="81"/>
            <rFont val="Tahoma"/>
            <family val="2"/>
          </rPr>
          <t>Klal Yisrael:</t>
        </r>
        <r>
          <rPr>
            <sz val="9"/>
            <color indexed="81"/>
            <rFont val="Tahoma"/>
            <family val="2"/>
          </rPr>
          <t xml:space="preserve">
Mrs. 054-845-9215</t>
        </r>
      </text>
    </comment>
    <comment ref="D234" authorId="0" shapeId="0" xr:uid="{B8D659C1-6F25-4DDC-8150-FF37865F1360}">
      <text>
        <r>
          <rPr>
            <b/>
            <sz val="9"/>
            <color indexed="81"/>
            <rFont val="Tahoma"/>
            <family val="2"/>
          </rPr>
          <t>Klal Yisrael:</t>
        </r>
        <r>
          <rPr>
            <sz val="9"/>
            <color indexed="81"/>
            <rFont val="Tahoma"/>
            <family val="2"/>
          </rPr>
          <t xml:space="preserve">
1) Started $100 in october 2018
2) Stopping Nissim 2019</t>
        </r>
      </text>
    </comment>
    <comment ref="K234" authorId="0" shapeId="0" xr:uid="{03A36670-AE25-4C53-8884-181FB181BE0F}">
      <text>
        <r>
          <rPr>
            <b/>
            <sz val="9"/>
            <color indexed="81"/>
            <rFont val="Tahoma"/>
            <family val="2"/>
          </rPr>
          <t>Klal Yisrael:</t>
        </r>
        <r>
          <rPr>
            <sz val="9"/>
            <color indexed="81"/>
            <rFont val="Tahoma"/>
            <family val="2"/>
          </rPr>
          <t xml:space="preserve">
Recieved the first 4 months $250 (begining of Shevat, Adar 1, Adar 2, Nissim)</t>
        </r>
      </text>
    </comment>
    <comment ref="N235" authorId="0" shapeId="0" xr:uid="{00000000-0006-0000-0300-000077000000}">
      <text>
        <r>
          <rPr>
            <b/>
            <sz val="9"/>
            <color indexed="81"/>
            <rFont val="Tahoma"/>
            <family val="2"/>
          </rPr>
          <t>Klal Yisrael:</t>
        </r>
        <r>
          <rPr>
            <sz val="9"/>
            <color indexed="81"/>
            <rFont val="Tahoma"/>
            <family val="2"/>
          </rPr>
          <t xml:space="preserve">
1) Rav Caplan gives 200 שקל monly (around 56 dollars)</t>
        </r>
      </text>
    </comment>
    <comment ref="U235" authorId="0" shapeId="0" xr:uid="{00000000-0006-0000-0300-000078000000}">
      <text>
        <r>
          <rPr>
            <b/>
            <sz val="9"/>
            <color indexed="81"/>
            <rFont val="Tahoma"/>
            <family val="2"/>
          </rPr>
          <t>Klal Yisrael:</t>
        </r>
        <r>
          <rPr>
            <sz val="9"/>
            <color indexed="81"/>
            <rFont val="Tahoma"/>
            <family val="2"/>
          </rPr>
          <t xml:space="preserve">
From ר"ח סיון עח
Therefore 8 months (סיון-טבת)</t>
        </r>
      </text>
    </comment>
    <comment ref="A236" authorId="0" shapeId="0" xr:uid="{4B11EDE7-DD3C-4AD5-B7B1-752E857FDA1B}">
      <text>
        <r>
          <rPr>
            <b/>
            <sz val="9"/>
            <color indexed="81"/>
            <rFont val="Tahoma"/>
            <family val="2"/>
          </rPr>
          <t>Klal Yisrael:</t>
        </r>
        <r>
          <rPr>
            <sz val="9"/>
            <color indexed="81"/>
            <rFont val="Tahoma"/>
            <family val="2"/>
          </rPr>
          <t xml:space="preserve">
For Shimmshi - through Moshe Segal - Rosh Chodesh Adar</t>
        </r>
      </text>
    </comment>
    <comment ref="K236" authorId="0" shapeId="0" xr:uid="{374229C2-9A33-4308-9236-B62DA90A109F}">
      <text>
        <r>
          <rPr>
            <b/>
            <sz val="9"/>
            <color indexed="81"/>
            <rFont val="Tahoma"/>
            <family val="2"/>
          </rPr>
          <t>Klal Yisrael:</t>
        </r>
        <r>
          <rPr>
            <sz val="9"/>
            <color indexed="81"/>
            <rFont val="Tahoma"/>
            <family val="2"/>
          </rPr>
          <t xml:space="preserve">
Recieved the first 4months (begining of Shevat, Adar 1, Adar 2, Nissim)</t>
        </r>
      </text>
    </comment>
    <comment ref="U237" authorId="0" shapeId="0" xr:uid="{41E67FD8-EBD8-44AD-A026-232960312192}">
      <text>
        <r>
          <rPr>
            <b/>
            <sz val="9"/>
            <color indexed="81"/>
            <rFont val="Tahoma"/>
            <family val="2"/>
          </rPr>
          <t>Klal Yisrael:</t>
        </r>
        <r>
          <rPr>
            <sz val="9"/>
            <color indexed="81"/>
            <rFont val="Tahoma"/>
            <family val="2"/>
          </rPr>
          <t xml:space="preserve">
Beging of Adar?
11 months</t>
        </r>
      </text>
    </comment>
    <comment ref="K238" authorId="0" shapeId="0" xr:uid="{41BFA2BB-63FD-49EE-A474-BF8E40C5958D}">
      <text>
        <r>
          <rPr>
            <b/>
            <sz val="9"/>
            <color indexed="81"/>
            <rFont val="Tahoma"/>
            <family val="2"/>
          </rPr>
          <t>Klal Yisrael:</t>
        </r>
        <r>
          <rPr>
            <sz val="9"/>
            <color indexed="81"/>
            <rFont val="Tahoma"/>
            <family val="2"/>
          </rPr>
          <t xml:space="preserve">
Recieved the first 4months (begining of Shevat, Adar 1, Adar 2, Nissim)</t>
        </r>
      </text>
    </comment>
    <comment ref="U238" authorId="0" shapeId="0" xr:uid="{00000000-0006-0000-0300-00007B000000}">
      <text>
        <r>
          <rPr>
            <b/>
            <sz val="9"/>
            <color indexed="81"/>
            <rFont val="Tahoma"/>
            <family val="2"/>
          </rPr>
          <t>Klal Yisrael:</t>
        </r>
        <r>
          <rPr>
            <sz val="9"/>
            <color indexed="81"/>
            <rFont val="Tahoma"/>
            <family val="2"/>
          </rPr>
          <t xml:space="preserve">
From ר"ח אב עח
Therefore 6 months (אב-טבת)</t>
        </r>
      </text>
    </comment>
    <comment ref="A239" authorId="0" shapeId="0" xr:uid="{E5ACDAF2-8B1C-415D-BF36-BC2CCF2E315C}">
      <text>
        <r>
          <rPr>
            <b/>
            <sz val="9"/>
            <color indexed="81"/>
            <rFont val="Tahoma"/>
            <family val="2"/>
          </rPr>
          <t>Klal Yisrael:</t>
        </r>
        <r>
          <rPr>
            <sz val="9"/>
            <color indexed="81"/>
            <rFont val="Tahoma"/>
            <family val="2"/>
          </rPr>
          <t xml:space="preserve">
1) Started beginning חודש אדר א - Feb 6
For 12 months
2) Started Mishnayos beging of Iyar - 9 months</t>
        </r>
      </text>
    </comment>
    <comment ref="M239" authorId="0" shapeId="0" xr:uid="{34FF3721-D369-4EE1-8DB3-320BF4F1CC9D}">
      <text>
        <r>
          <rPr>
            <b/>
            <sz val="9"/>
            <color indexed="81"/>
            <rFont val="Tahoma"/>
            <family val="2"/>
          </rPr>
          <t>Klal Yisrael:</t>
        </r>
        <r>
          <rPr>
            <sz val="9"/>
            <color indexed="81"/>
            <rFont val="Tahoma"/>
            <family val="2"/>
          </rPr>
          <t xml:space="preserve">
$600 from Safier, that I kept</t>
        </r>
      </text>
    </comment>
    <comment ref="N241" authorId="0" shapeId="0" xr:uid="{3F946E7A-2CC8-4EE4-A30C-6D9092A8AB8D}">
      <text>
        <r>
          <rPr>
            <b/>
            <sz val="9"/>
            <color indexed="81"/>
            <rFont val="Tahoma"/>
            <family val="2"/>
          </rPr>
          <t>Klal Yisrael:</t>
        </r>
        <r>
          <rPr>
            <sz val="9"/>
            <color indexed="81"/>
            <rFont val="Tahoma"/>
            <family val="2"/>
          </rPr>
          <t xml:space="preserve">
1) 4,000 swithed from Elisha to Baum
2) 1858 swithed from Elisha to Baum</t>
        </r>
      </text>
    </comment>
    <comment ref="AI241" authorId="1" shapeId="0" xr:uid="{00000000-0006-0000-0300-00007C000000}">
      <text>
        <r>
          <rPr>
            <b/>
            <sz val="9"/>
            <color indexed="81"/>
            <rFont val="Tahoma"/>
            <family val="2"/>
          </rPr>
          <t>Stilerman:</t>
        </r>
        <r>
          <rPr>
            <sz val="9"/>
            <color indexed="81"/>
            <rFont val="Tahoma"/>
            <family val="2"/>
          </rPr>
          <t xml:space="preserve">
1) - 99 that came from Dani to Elisha paypal</t>
        </r>
      </text>
    </comment>
    <comment ref="D242" authorId="0" shapeId="0" xr:uid="{A3E964CD-4307-4FC2-9C10-BADD5A395290}">
      <text>
        <r>
          <rPr>
            <b/>
            <sz val="9"/>
            <color indexed="81"/>
            <rFont val="Tahoma"/>
            <family val="2"/>
          </rPr>
          <t>Klal Yisrael:</t>
        </r>
        <r>
          <rPr>
            <sz val="9"/>
            <color indexed="81"/>
            <rFont val="Tahoma"/>
            <family val="2"/>
          </rPr>
          <t xml:space="preserve">
plus $200 Mrs Shidlovsky - pesach
plus $200 Mrs Shidlovsky - rosh hashana</t>
        </r>
      </text>
    </comment>
    <comment ref="L242" authorId="0" shapeId="0" xr:uid="{A772ABB5-D5CF-4E63-831A-5D7108E2B9B8}">
      <text>
        <r>
          <rPr>
            <b/>
            <sz val="9"/>
            <color indexed="81"/>
            <rFont val="Tahoma"/>
            <family val="2"/>
          </rPr>
          <t>Klal Yisrael:</t>
        </r>
        <r>
          <rPr>
            <sz val="9"/>
            <color indexed="81"/>
            <rFont val="Tahoma"/>
            <family val="2"/>
          </rPr>
          <t xml:space="preserve">
1) -250 From liber</t>
        </r>
      </text>
    </comment>
    <comment ref="S242" authorId="0" shapeId="0" xr:uid="{00000000-0006-0000-0300-00007D000000}">
      <text>
        <r>
          <rPr>
            <b/>
            <sz val="9"/>
            <color indexed="81"/>
            <rFont val="Tahoma"/>
            <family val="2"/>
          </rPr>
          <t>Klal Yisrael:</t>
        </r>
        <r>
          <rPr>
            <sz val="9"/>
            <color indexed="81"/>
            <rFont val="Tahoma"/>
            <family val="2"/>
          </rPr>
          <t xml:space="preserve">
1) +$300 for levenson one month 
2) - 1,200 for 4 months for Hecker.
3) - 1,200 for 4 months for FE
4) - 300 for 1 month for NDS
5) $50 extra for Malis
6) $50 extra for Malis
7) - 1800 for 6 month for Ari
8) - 100 for the last 2 months to Gold (from $300, to $250)
9) - 100 for the last 2 months to Hecker (from $300, to $250)
10) - 100 for the last 2 months to Ben-Churin (from $300, to $250)</t>
        </r>
      </text>
    </comment>
    <comment ref="T242" authorId="0" shapeId="0" xr:uid="{00000000-0006-0000-0300-00007E000000}">
      <text>
        <r>
          <rPr>
            <b/>
            <sz val="9"/>
            <color indexed="81"/>
            <rFont val="Tahoma"/>
            <family val="2"/>
          </rPr>
          <t xml:space="preserve">Klal Yisrael: 
</t>
        </r>
        <r>
          <rPr>
            <sz val="9"/>
            <color indexed="81"/>
            <rFont val="Tahoma"/>
            <family val="2"/>
          </rPr>
          <t>Hopfull $3,600
1) hopefully Reb M 1,200
2) Mss 400
3) Kahn 1,250</t>
        </r>
      </text>
    </comment>
    <comment ref="I247" authorId="1" shapeId="0" xr:uid="{00000000-0006-0000-0300-00007F000000}">
      <text>
        <r>
          <rPr>
            <b/>
            <sz val="9"/>
            <color indexed="81"/>
            <rFont val="Tahoma"/>
            <family val="2"/>
          </rPr>
          <t>Stilerman:</t>
        </r>
        <r>
          <rPr>
            <sz val="9"/>
            <color indexed="81"/>
            <rFont val="Tahoma"/>
            <family val="2"/>
          </rPr>
          <t xml:space="preserve">
1) $100 beginning Adar תשעז
2) $100 beginning Nissin
3) $100 For Yom-Tov
4) $100 beginning Nissin for Iyar
5) $100 beginning Iyar
6) $300 beginning Sivan
7) $200 טו סיון - before america
8) $100 beginning Tamus (before america)
9) $100 beginning Av
10) $100 beginning Elul
11) $120 לג בעומר תשעח
12) $358 סוכות תשעט - through Yom Tov/ Esras
13) - $54 [200 sh on י טבת], to ballance account</t>
        </r>
      </text>
    </comment>
    <comment ref="E248" authorId="1" shapeId="0" xr:uid="{00000000-0006-0000-0300-000080000000}">
      <text>
        <r>
          <rPr>
            <b/>
            <sz val="9"/>
            <color indexed="81"/>
            <rFont val="Tahoma"/>
            <family val="2"/>
          </rPr>
          <t>Stilerman:</t>
        </r>
        <r>
          <rPr>
            <sz val="9"/>
            <color indexed="81"/>
            <rFont val="Tahoma"/>
            <family val="2"/>
          </rPr>
          <t xml:space="preserve">
$100 twice</t>
        </r>
      </text>
    </comment>
    <comment ref="I248" authorId="1" shapeId="0" xr:uid="{00000000-0006-0000-0300-000081000000}">
      <text>
        <r>
          <rPr>
            <b/>
            <sz val="9"/>
            <color indexed="81"/>
            <rFont val="Tahoma"/>
            <family val="2"/>
          </rPr>
          <t>Stilerman:</t>
        </r>
        <r>
          <rPr>
            <sz val="9"/>
            <color indexed="81"/>
            <rFont val="Tahoma"/>
            <family val="2"/>
          </rPr>
          <t xml:space="preserve">
1) Before Rosh-Hashana
2) ראש חודש תמוז תשעח - for camp</t>
        </r>
      </text>
    </comment>
    <comment ref="E250" authorId="1" shapeId="0" xr:uid="{00000000-0006-0000-0300-000082000000}">
      <text>
        <r>
          <rPr>
            <b/>
            <sz val="9"/>
            <color indexed="81"/>
            <rFont val="Tahoma"/>
            <family val="2"/>
          </rPr>
          <t>Stilerman:</t>
        </r>
        <r>
          <rPr>
            <sz val="9"/>
            <color indexed="81"/>
            <rFont val="Tahoma"/>
            <family val="2"/>
          </rPr>
          <t xml:space="preserve">
my paypal</t>
        </r>
      </text>
    </comment>
    <comment ref="E251" authorId="1" shapeId="0" xr:uid="{00000000-0006-0000-0300-000083000000}">
      <text>
        <r>
          <rPr>
            <b/>
            <sz val="9"/>
            <color indexed="81"/>
            <rFont val="Tahoma"/>
            <family val="2"/>
          </rPr>
          <t>Stilerman:</t>
        </r>
        <r>
          <rPr>
            <sz val="9"/>
            <color indexed="81"/>
            <rFont val="Tahoma"/>
            <family val="2"/>
          </rPr>
          <t xml:space="preserve">
my paypal</t>
        </r>
      </text>
    </comment>
    <comment ref="E252" authorId="1" shapeId="0" xr:uid="{00000000-0006-0000-0300-000084000000}">
      <text>
        <r>
          <rPr>
            <b/>
            <sz val="9"/>
            <color indexed="81"/>
            <rFont val="Tahoma"/>
            <family val="2"/>
          </rPr>
          <t>Stilerman:</t>
        </r>
        <r>
          <rPr>
            <sz val="9"/>
            <color indexed="81"/>
            <rFont val="Tahoma"/>
            <family val="2"/>
          </rPr>
          <t xml:space="preserve">
From נועם paypal to my paypal</t>
        </r>
      </text>
    </comment>
    <comment ref="L252" authorId="1" shapeId="0" xr:uid="{00000000-0006-0000-0300-000088000000}">
      <text>
        <r>
          <rPr>
            <b/>
            <sz val="9"/>
            <color indexed="81"/>
            <rFont val="Tahoma"/>
            <family val="2"/>
          </rPr>
          <t>Stilerman:</t>
        </r>
        <r>
          <rPr>
            <sz val="9"/>
            <color indexed="81"/>
            <rFont val="Tahoma"/>
            <family val="2"/>
          </rPr>
          <t xml:space="preserve">
From begining of Elul 2017</t>
        </r>
      </text>
    </comment>
    <comment ref="O254" authorId="1" shapeId="0" xr:uid="{00000000-0006-0000-0300-00008B000000}">
      <text>
        <r>
          <rPr>
            <b/>
            <sz val="9"/>
            <color indexed="81"/>
            <rFont val="Tahoma"/>
            <family val="2"/>
          </rPr>
          <t>Stilerman:</t>
        </r>
        <r>
          <rPr>
            <sz val="9"/>
            <color indexed="81"/>
            <rFont val="Tahoma"/>
            <family val="2"/>
          </rPr>
          <t xml:space="preserve">
1) beginning Elul
2) beginning Tisrei
3) douple for Yom-Tov
4) beginning cheshvan
5) beginning kislev
6) Beginning Shvat
7) Beginning Adar
8) Beginning Nissim
9) Beginning Irar
10) Beginning Sivan
11) beginning Tamus</t>
        </r>
      </text>
    </comment>
    <comment ref="E255" authorId="0" shapeId="0" xr:uid="{00000000-0006-0000-0300-000085000000}">
      <text>
        <r>
          <rPr>
            <b/>
            <sz val="9"/>
            <color indexed="81"/>
            <rFont val="Tahoma"/>
            <family val="2"/>
          </rPr>
          <t>Klal Yisrael:</t>
        </r>
        <r>
          <rPr>
            <sz val="9"/>
            <color indexed="81"/>
            <rFont val="Tahoma"/>
            <family val="2"/>
          </rPr>
          <t xml:space="preserve">
Noam - July 3, 2018</t>
        </r>
      </text>
    </comment>
    <comment ref="H255" authorId="1" shapeId="0" xr:uid="{00000000-0006-0000-0300-000086000000}">
      <text>
        <r>
          <rPr>
            <b/>
            <sz val="9"/>
            <color indexed="81"/>
            <rFont val="Tahoma"/>
            <family val="2"/>
          </rPr>
          <t>Stilerman:</t>
        </r>
        <r>
          <rPr>
            <sz val="9"/>
            <color indexed="81"/>
            <rFont val="Tahoma"/>
            <family val="2"/>
          </rPr>
          <t xml:space="preserve">
1) 9/19 - 150 שקל from נועם</t>
        </r>
      </text>
    </comment>
    <comment ref="L256" authorId="1" shapeId="0" xr:uid="{F9C434FB-9CF3-4F3C-995A-3C35A3B21B49}">
      <text>
        <r>
          <rPr>
            <b/>
            <sz val="9"/>
            <color indexed="81"/>
            <rFont val="Tahoma"/>
            <family val="2"/>
          </rPr>
          <t>Stilerman:</t>
        </r>
        <r>
          <rPr>
            <sz val="9"/>
            <color indexed="81"/>
            <rFont val="Tahoma"/>
            <family val="2"/>
          </rPr>
          <t xml:space="preserve">
From begining of Elul 2017</t>
        </r>
      </text>
    </comment>
    <comment ref="E259" authorId="0" shapeId="0" xr:uid="{6284A6B1-A999-4CA9-9263-1B419C73AF26}">
      <text>
        <r>
          <rPr>
            <b/>
            <sz val="9"/>
            <color indexed="81"/>
            <rFont val="Tahoma"/>
            <family val="2"/>
          </rPr>
          <t>Klal Yisrael:</t>
        </r>
        <r>
          <rPr>
            <sz val="9"/>
            <color indexed="81"/>
            <rFont val="Tahoma"/>
            <family val="2"/>
          </rPr>
          <t xml:space="preserve">
(6 months - until Sept)
He gave until the end of the year - 10 months.</t>
        </r>
      </text>
    </comment>
    <comment ref="K259" authorId="0" shapeId="0" xr:uid="{079A755E-AB94-4726-A841-EEA8E96761EE}">
      <text>
        <r>
          <rPr>
            <b/>
            <sz val="9"/>
            <color indexed="81"/>
            <rFont val="Tahoma"/>
            <family val="2"/>
          </rPr>
          <t>Klal Yisrael:</t>
        </r>
        <r>
          <rPr>
            <sz val="9"/>
            <color indexed="81"/>
            <rFont val="Tahoma"/>
            <family val="2"/>
          </rPr>
          <t xml:space="preserve">
Stopped in June - continued November</t>
        </r>
      </text>
    </comment>
    <comment ref="F260" authorId="1" shapeId="0" xr:uid="{00000000-0006-0000-0300-000087000000}">
      <text>
        <r>
          <rPr>
            <b/>
            <sz val="9"/>
            <color indexed="81"/>
            <rFont val="Tahoma"/>
            <family val="2"/>
          </rPr>
          <t>Stilerman:</t>
        </r>
        <r>
          <rPr>
            <sz val="9"/>
            <color indexed="81"/>
            <rFont val="Tahoma"/>
            <family val="2"/>
          </rPr>
          <t xml:space="preserve">
1) 6/4/17 - 103
2) 7/4/17 - 103
3) 8/4/17 - 103
4) 9/4/17 - 103
…..
Not renewed - contact Noam</t>
        </r>
      </text>
    </comment>
    <comment ref="G260" authorId="1" shapeId="0" xr:uid="{E5B6D679-95FA-4804-BAC7-4D6B07449571}">
      <text>
        <r>
          <rPr>
            <b/>
            <sz val="9"/>
            <color indexed="81"/>
            <rFont val="Tahoma"/>
            <family val="2"/>
          </rPr>
          <t xml:space="preserve">Stilerman:
</t>
        </r>
        <r>
          <rPr>
            <sz val="9"/>
            <color indexed="81"/>
            <rFont val="Tahoma"/>
            <family val="2"/>
          </rPr>
          <t>Renewed: 2019 - 12 months</t>
        </r>
      </text>
    </comment>
    <comment ref="F261" authorId="1" shapeId="0" xr:uid="{00000000-0006-0000-0300-000089000000}">
      <text>
        <r>
          <rPr>
            <b/>
            <sz val="9"/>
            <color indexed="81"/>
            <rFont val="Tahoma"/>
            <family val="2"/>
          </rPr>
          <t>Stilerman:</t>
        </r>
        <r>
          <rPr>
            <sz val="9"/>
            <color indexed="81"/>
            <rFont val="Tahoma"/>
            <family val="2"/>
          </rPr>
          <t xml:space="preserve">
To ezras achim
From Ahron friedman (son-in-law)</t>
        </r>
      </text>
    </comment>
    <comment ref="I262" authorId="1" shapeId="0" xr:uid="{00000000-0006-0000-0300-00008A000000}">
      <text>
        <r>
          <rPr>
            <b/>
            <sz val="9"/>
            <color indexed="81"/>
            <rFont val="Tahoma"/>
            <family val="2"/>
          </rPr>
          <t>Stilerman:</t>
        </r>
        <r>
          <rPr>
            <sz val="9"/>
            <color indexed="81"/>
            <rFont val="Tahoma"/>
            <family val="2"/>
          </rPr>
          <t xml:space="preserve">
1) beginning of Tishrei
2) double for yom Tov
3) beginning of חשון
4) beginning cheshvan
5) beginning kislev
6) beginning Teves
7) Beging Shevat
8) beginning Adar
9) Beginning Nisan
10) Beginning Irar
11) Beginning Sivan
12) beginning Tamus</t>
        </r>
      </text>
    </comment>
    <comment ref="R262" authorId="1" shapeId="0" xr:uid="{00000000-0006-0000-0300-00008C000000}">
      <text>
        <r>
          <rPr>
            <b/>
            <sz val="9"/>
            <color indexed="81"/>
            <rFont val="Tahoma"/>
            <family val="2"/>
          </rPr>
          <t>Stilerman:</t>
        </r>
        <r>
          <rPr>
            <sz val="9"/>
            <color indexed="81"/>
            <rFont val="Tahoma"/>
            <family val="2"/>
          </rPr>
          <t xml:space="preserve">
1) beginning of Tishrei
2) double for yom Tov
3) beginning of חשון
4) beginning cheshvan
5) beginning kislev
6) beginning teves
7) beginning Shevat
8) beginning Adar
9)</t>
        </r>
      </text>
    </comment>
    <comment ref="D263" authorId="0" shapeId="0" xr:uid="{F244745F-5CD7-4614-B98B-052B45A8B9C3}">
      <text>
        <r>
          <rPr>
            <b/>
            <sz val="9"/>
            <color indexed="81"/>
            <rFont val="Tahoma"/>
            <family val="2"/>
          </rPr>
          <t>Klal Yisrael:</t>
        </r>
        <r>
          <rPr>
            <sz val="9"/>
            <color indexed="81"/>
            <rFont val="Tahoma"/>
            <family val="2"/>
          </rPr>
          <t xml:space="preserve">
For the year:
Starting Oct 2020</t>
        </r>
      </text>
    </comment>
    <comment ref="E263" authorId="0" shapeId="0" xr:uid="{085DC4DD-691C-462D-97FC-604AC6D6FBB9}">
      <text>
        <r>
          <rPr>
            <b/>
            <sz val="9"/>
            <color indexed="81"/>
            <rFont val="Tahoma"/>
            <family val="2"/>
          </rPr>
          <t>Klal Yisrael:</t>
        </r>
        <r>
          <rPr>
            <sz val="9"/>
            <color indexed="81"/>
            <rFont val="Tahoma"/>
            <family val="2"/>
          </rPr>
          <t xml:space="preserve">
6 months - until Sept</t>
        </r>
      </text>
    </comment>
    <comment ref="J263" authorId="1" shapeId="0" xr:uid="{00000000-0006-0000-0300-00008D000000}">
      <text>
        <r>
          <rPr>
            <b/>
            <sz val="9"/>
            <color indexed="81"/>
            <rFont val="Tahoma"/>
            <family val="2"/>
          </rPr>
          <t>Stilerman:</t>
        </r>
        <r>
          <rPr>
            <sz val="9"/>
            <color indexed="81"/>
            <rFont val="Tahoma"/>
            <family val="2"/>
          </rPr>
          <t xml:space="preserve">
Dovid Fishman - May 2-18</t>
        </r>
      </text>
    </comment>
    <comment ref="G264" authorId="1" shapeId="0" xr:uid="{207AF564-B609-44C1-A04C-ADDBEBFADCFC}">
      <text>
        <r>
          <rPr>
            <b/>
            <sz val="9"/>
            <color indexed="81"/>
            <rFont val="Tahoma"/>
            <family val="2"/>
          </rPr>
          <t>Stilerman:</t>
        </r>
        <r>
          <rPr>
            <sz val="9"/>
            <color indexed="81"/>
            <rFont val="Tahoma"/>
            <family val="2"/>
          </rPr>
          <t xml:space="preserve">
1) For Rabbi Caplon - Pesach</t>
        </r>
      </text>
    </comment>
    <comment ref="D265" authorId="0" shapeId="0" xr:uid="{0C5E696F-F52C-4A01-807F-27C3E0D77152}">
      <text>
        <r>
          <rPr>
            <b/>
            <sz val="9"/>
            <color indexed="81"/>
            <rFont val="Tahoma"/>
            <family val="2"/>
          </rPr>
          <t>Klal Yisrael:</t>
        </r>
        <r>
          <rPr>
            <sz val="9"/>
            <color indexed="81"/>
            <rFont val="Tahoma"/>
            <family val="2"/>
          </rPr>
          <t xml:space="preserve">
1) Reb Ahron Friedman</t>
        </r>
      </text>
    </comment>
    <comment ref="F265" authorId="0" shapeId="0" xr:uid="{00000000-0006-0000-0300-00008E000000}">
      <text>
        <r>
          <rPr>
            <b/>
            <sz val="9"/>
            <color indexed="81"/>
            <rFont val="Tahoma"/>
            <family val="2"/>
          </rPr>
          <t>Klal Yisrael:</t>
        </r>
        <r>
          <rPr>
            <sz val="9"/>
            <color indexed="81"/>
            <rFont val="Tahoma"/>
            <family val="2"/>
          </rPr>
          <t xml:space="preserve">
360</t>
        </r>
      </text>
    </comment>
    <comment ref="G265" authorId="0" shapeId="0" xr:uid="{99F41A97-A227-4300-8F37-1C5123609FA3}">
      <text>
        <r>
          <rPr>
            <b/>
            <sz val="9"/>
            <color indexed="81"/>
            <rFont val="Tahoma"/>
            <family val="2"/>
          </rPr>
          <t>Klal Yisrael:</t>
        </r>
        <r>
          <rPr>
            <sz val="9"/>
            <color indexed="81"/>
            <rFont val="Tahoma"/>
            <family val="2"/>
          </rPr>
          <t xml:space="preserve">
1) 100 Sh - Through Reb Ahron Friedman - 1.10.19 
2) 100 Sh - Through Reb Ahron Friedman - 3.6.19
3) $100 - Through Reb Ahron Friedman - 3.6.19 
4) 60 shek - Through Reb Ahron Friedman - 3.18.19
5) $100 - Through Reb Dovid Fishman - 5.5.19 
6) 200 Sh - Through Reb Ahron Friedman - 7.2.19
7) 173 - extra from before Rosh Hashana - see below
8) $150 from Nussi, before Chanuka
gave 500 Shekels, left 18 Sh that I put here
</t>
        </r>
        <r>
          <rPr>
            <b/>
            <u/>
            <sz val="9"/>
            <color indexed="81"/>
            <rFont val="Tahoma"/>
            <family val="2"/>
          </rPr>
          <t>Before Rosh Hashana</t>
        </r>
        <r>
          <rPr>
            <sz val="9"/>
            <color indexed="81"/>
            <rFont val="Tahoma"/>
            <family val="2"/>
          </rPr>
          <t xml:space="preserve">: I gave 12,602
Received
250 Lipshitz
250 Berkowitz
500 Klein
500 Rubin
1000 Landau
50 Tennenberg
150 Jeidel (Zuber) 
100 Fishoff
300 Wolf, Binyomin
72+100 Hertzcha
100 Rudi Cyperstein
My chov from pesach $278  = [Total: $3,650*3.5=12,775] – extra 173 shekels - placed above
</t>
        </r>
      </text>
    </comment>
    <comment ref="I265" authorId="0" shapeId="0" xr:uid="{00000000-0006-0000-0300-00008F000000}">
      <text>
        <r>
          <rPr>
            <b/>
            <sz val="9"/>
            <color indexed="81"/>
            <rFont val="Tahoma"/>
            <family val="2"/>
          </rPr>
          <t>Klal Yisrael:</t>
        </r>
        <r>
          <rPr>
            <sz val="9"/>
            <color indexed="81"/>
            <rFont val="Tahoma"/>
            <family val="2"/>
          </rPr>
          <t xml:space="preserve">
1) From noam - ה אדר
2) From Fishman - כג סיון</t>
        </r>
      </text>
    </comment>
    <comment ref="E266" authorId="0" shapeId="0" xr:uid="{0563F30A-331B-45B5-B08F-161737733C55}">
      <text>
        <r>
          <rPr>
            <b/>
            <sz val="9"/>
            <color indexed="81"/>
            <rFont val="Tahoma"/>
            <family val="2"/>
          </rPr>
          <t>Klal Yisrael:</t>
        </r>
        <r>
          <rPr>
            <sz val="9"/>
            <color indexed="81"/>
            <rFont val="Tahoma"/>
            <family val="2"/>
          </rPr>
          <t xml:space="preserve">
1) 200 Sh - Through Reb Ahron Friedman - 3.2.20
2) 150 Sh - Through Reb Ahron Friedman - 21.3.20
3) 100 Sh - Through Reb Ahron Friedman - 26.5.20
4) 400 Sh - Through Reb Ahron Friedman - 6.7.20
5) MINUS 25 Sh - I gave him (because $125 from Zuber 425 Nis, I gave 450 Nis) 7.28.20
6) 50 Sh - Reb Dovid Fishman - 13.9.20
7) 100 Sh - Yudi Tepper - עשרת ימי תשובה
8) 600 Sh - Muller - עשרת ימי תשובה
9) 400 Sh - Pollock Oct 19
10) 300 Sh - Through Reb Ahron Friedman - 10.12.20 chanukah</t>
        </r>
      </text>
    </comment>
    <comment ref="R281" authorId="0" shapeId="0" xr:uid="{00000000-0006-0000-0300-000090000000}">
      <text>
        <r>
          <rPr>
            <b/>
            <sz val="9"/>
            <color indexed="81"/>
            <rFont val="Tahoma"/>
            <family val="2"/>
          </rPr>
          <t>Klal Yisrael:</t>
        </r>
        <r>
          <rPr>
            <sz val="9"/>
            <color indexed="81"/>
            <rFont val="Tahoma"/>
            <family val="2"/>
          </rPr>
          <t xml:space="preserve">
1,000 שקל
</t>
        </r>
      </text>
    </comment>
    <comment ref="R287" authorId="0" shapeId="0" xr:uid="{00000000-0006-0000-0300-000091000000}">
      <text>
        <r>
          <rPr>
            <b/>
            <sz val="9"/>
            <color indexed="81"/>
            <rFont val="Tahoma"/>
            <family val="2"/>
          </rPr>
          <t>Klal Yisrael:</t>
        </r>
        <r>
          <rPr>
            <sz val="9"/>
            <color indexed="81"/>
            <rFont val="Tahoma"/>
            <family val="2"/>
          </rPr>
          <t xml:space="preserve">
100 שקל on 6-19-18</t>
        </r>
      </text>
    </comment>
    <comment ref="R291" authorId="0" shapeId="0" xr:uid="{00000000-0006-0000-0300-000092000000}">
      <text>
        <r>
          <rPr>
            <b/>
            <sz val="9"/>
            <color indexed="81"/>
            <rFont val="Tahoma"/>
            <family val="2"/>
          </rPr>
          <t>Klal Yisrael:</t>
        </r>
        <r>
          <rPr>
            <sz val="9"/>
            <color indexed="81"/>
            <rFont val="Tahoma"/>
            <family val="2"/>
          </rPr>
          <t xml:space="preserve">
I exchange with Zeidy - count towards מעשר
number 1 of 18</t>
        </r>
      </text>
    </comment>
    <comment ref="R295" authorId="0" shapeId="0" xr:uid="{00000000-0006-0000-0300-000093000000}">
      <text>
        <r>
          <rPr>
            <b/>
            <sz val="9"/>
            <color indexed="81"/>
            <rFont val="Tahoma"/>
            <family val="2"/>
          </rPr>
          <t>Klal Yisrael:</t>
        </r>
        <r>
          <rPr>
            <sz val="9"/>
            <color indexed="81"/>
            <rFont val="Tahoma"/>
            <family val="2"/>
          </rPr>
          <t xml:space="preserve">
I exchange with Zeidy - count towards מעשר
number 2 of 18</t>
        </r>
      </text>
    </comment>
    <comment ref="R297" authorId="0" shapeId="0" xr:uid="{00000000-0006-0000-0300-000094000000}">
      <text>
        <r>
          <rPr>
            <b/>
            <sz val="9"/>
            <color indexed="81"/>
            <rFont val="Tahoma"/>
            <family val="2"/>
          </rPr>
          <t>Klal Yisrael:</t>
        </r>
        <r>
          <rPr>
            <sz val="9"/>
            <color indexed="81"/>
            <rFont val="Tahoma"/>
            <family val="2"/>
          </rPr>
          <t xml:space="preserve">
I exchange with Zeidy - count towards מעשר
number 3 of 18</t>
        </r>
      </text>
    </comment>
    <comment ref="R299" authorId="0" shapeId="0" xr:uid="{AE2F5BC1-0783-4950-85A7-124BFC019411}">
      <text>
        <r>
          <rPr>
            <b/>
            <sz val="9"/>
            <color indexed="81"/>
            <rFont val="Tahoma"/>
            <family val="2"/>
          </rPr>
          <t>Klal Yisrael:</t>
        </r>
        <r>
          <rPr>
            <sz val="9"/>
            <color indexed="81"/>
            <rFont val="Tahoma"/>
            <family val="2"/>
          </rPr>
          <t xml:space="preserve">
I exchange with Zeidy - count towards מעשר
number 4 of 18</t>
        </r>
      </text>
    </comment>
    <comment ref="R302" authorId="0" shapeId="0" xr:uid="{B375D16C-FF94-446C-928D-AB5083732C05}">
      <text>
        <r>
          <rPr>
            <b/>
            <sz val="9"/>
            <color indexed="81"/>
            <rFont val="Tahoma"/>
            <family val="2"/>
          </rPr>
          <t>Klal Yisrael:</t>
        </r>
        <r>
          <rPr>
            <sz val="9"/>
            <color indexed="81"/>
            <rFont val="Tahoma"/>
            <family val="2"/>
          </rPr>
          <t xml:space="preserve">
I exchange with Zeidy - count towards מעשר
number 5 of 18</t>
        </r>
      </text>
    </comment>
    <comment ref="R304" authorId="0" shapeId="0" xr:uid="{ABF26CE4-8740-401D-8B02-D568AF2919C6}">
      <text>
        <r>
          <rPr>
            <b/>
            <sz val="9"/>
            <color indexed="81"/>
            <rFont val="Tahoma"/>
            <family val="2"/>
          </rPr>
          <t>Klal Yisrael:</t>
        </r>
        <r>
          <rPr>
            <sz val="9"/>
            <color indexed="81"/>
            <rFont val="Tahoma"/>
            <family val="2"/>
          </rPr>
          <t xml:space="preserve">
I exchange with Zeidy - count towards מעשר
number 6 of 18</t>
        </r>
      </text>
    </comment>
    <comment ref="R308" authorId="0" shapeId="0" xr:uid="{05BC0FA0-FD2D-4161-ABF8-BFFC295D2BD7}">
      <text>
        <r>
          <rPr>
            <b/>
            <sz val="9"/>
            <color indexed="81"/>
            <rFont val="Tahoma"/>
            <family val="2"/>
          </rPr>
          <t>Klal Yisrael:</t>
        </r>
        <r>
          <rPr>
            <sz val="9"/>
            <color indexed="81"/>
            <rFont val="Tahoma"/>
            <family val="2"/>
          </rPr>
          <t xml:space="preserve">
I exchange with Zeidy - count towards מעשר
number 7 of 18</t>
        </r>
      </text>
    </comment>
    <comment ref="R311" authorId="0" shapeId="0" xr:uid="{1E3B37BC-6B92-4FEC-A62A-9D83840FB204}">
      <text>
        <r>
          <rPr>
            <b/>
            <sz val="9"/>
            <color indexed="81"/>
            <rFont val="Tahoma"/>
            <family val="2"/>
          </rPr>
          <t>Klal Yisrael:</t>
        </r>
        <r>
          <rPr>
            <sz val="9"/>
            <color indexed="81"/>
            <rFont val="Tahoma"/>
            <family val="2"/>
          </rPr>
          <t xml:space="preserve">
I exchange with Zeidy - count towards מעשר
number 8 of 18</t>
        </r>
      </text>
    </comment>
    <comment ref="R313" authorId="0" shapeId="0" xr:uid="{6B9E1413-8D8D-4C24-86FC-A181CB2AA127}">
      <text>
        <r>
          <rPr>
            <b/>
            <sz val="9"/>
            <color indexed="81"/>
            <rFont val="Tahoma"/>
            <family val="2"/>
          </rPr>
          <t>Klal Yisrael:</t>
        </r>
        <r>
          <rPr>
            <sz val="9"/>
            <color indexed="81"/>
            <rFont val="Tahoma"/>
            <family val="2"/>
          </rPr>
          <t xml:space="preserve">
I exchange with Zeidy - count towards מעשר
number 8 of 18</t>
        </r>
      </text>
    </comment>
    <comment ref="A325" authorId="0" shapeId="0" xr:uid="{94D84322-C6B4-4011-ABB4-2B7794FB418F}">
      <text>
        <r>
          <rPr>
            <b/>
            <sz val="9"/>
            <color indexed="81"/>
            <rFont val="Tahoma"/>
            <family val="2"/>
          </rPr>
          <t>Klal Yisrael:</t>
        </r>
        <r>
          <rPr>
            <sz val="9"/>
            <color indexed="81"/>
            <rFont val="Tahoma"/>
            <family val="2"/>
          </rPr>
          <t xml:space="preserve">
1) Started beginning חודש אדר א - Feb 6
For 12 months
2) Started Mishnayos beging of Iyar - 9 months</t>
        </r>
      </text>
    </comment>
    <comment ref="R393" authorId="0" shapeId="0" xr:uid="{91768CC7-BECF-4B90-B77E-CFACE8A07ECB}">
      <text>
        <r>
          <rPr>
            <b/>
            <sz val="9"/>
            <color indexed="81"/>
            <rFont val="Tahoma"/>
            <family val="2"/>
          </rPr>
          <t>Klal Yisrael:</t>
        </r>
        <r>
          <rPr>
            <sz val="9"/>
            <color indexed="81"/>
            <rFont val="Tahoma"/>
            <family val="2"/>
          </rPr>
          <t xml:space="preserve">
Yeshohu Levin did not to mishnayos (Yono Grossman did)</t>
        </r>
      </text>
    </comment>
    <comment ref="R398" authorId="0" shapeId="0" xr:uid="{0CBB7388-4E78-4FEA-9FC0-126B2F2C7563}">
      <text>
        <r>
          <rPr>
            <b/>
            <sz val="9"/>
            <color indexed="81"/>
            <rFont val="Tahoma"/>
            <family val="2"/>
          </rPr>
          <t>Klal Yisrael:</t>
        </r>
        <r>
          <rPr>
            <sz val="9"/>
            <color indexed="81"/>
            <rFont val="Tahoma"/>
            <family val="2"/>
          </rPr>
          <t xml:space="preserve">
Yeshohu Levin did not to mishnayos (Yono Grossman did)</t>
        </r>
      </text>
    </comment>
    <comment ref="S421" authorId="0" shapeId="0" xr:uid="{79BCFB88-6242-4D91-BF9C-2685FEF86845}">
      <text>
        <r>
          <rPr>
            <b/>
            <sz val="9"/>
            <color indexed="81"/>
            <rFont val="Tahoma"/>
            <family val="2"/>
          </rPr>
          <t xml:space="preserve">Klal Yisrael: </t>
        </r>
        <r>
          <rPr>
            <sz val="9"/>
            <color indexed="81"/>
            <rFont val="Tahoma"/>
            <family val="2"/>
          </rPr>
          <t>Ezras Achim
Six Dollars
Two Quarters
Two Pennies
One Dime
One - Ten Shekel Piece
Nine - Five Shekel Piece
Thirteen - Two Shekel Piece
Seventy Nine - One Shekel Piece
Twenty One - Half a Shekel Piece
Hundred and Eight - Ten Agurat
10+45+26+79+10.5+10.8 = 181.30 NIS ($55.77)
+ $6.62</t>
        </r>
      </text>
    </comment>
    <comment ref="R493" authorId="0" shapeId="0" xr:uid="{00000000-0006-0000-0300-000095000000}">
      <text>
        <r>
          <rPr>
            <b/>
            <sz val="9"/>
            <color indexed="81"/>
            <rFont val="Tahoma"/>
            <family val="2"/>
          </rPr>
          <t>Klal Yisrael:</t>
        </r>
        <r>
          <rPr>
            <sz val="9"/>
            <color indexed="81"/>
            <rFont val="Tahoma"/>
            <family val="2"/>
          </rPr>
          <t xml:space="preserve">
1) 500 CAD - פסח</t>
        </r>
      </text>
    </comment>
    <comment ref="R507" authorId="0" shapeId="0" xr:uid="{552A75B9-0175-45F3-9C4F-64D4366E2E81}">
      <text>
        <r>
          <rPr>
            <b/>
            <sz val="9"/>
            <color indexed="81"/>
            <rFont val="Tahoma"/>
            <family val="2"/>
          </rPr>
          <t>Klal Yisrael:</t>
        </r>
        <r>
          <rPr>
            <sz val="9"/>
            <color indexed="81"/>
            <rFont val="Tahoma"/>
            <family val="2"/>
          </rPr>
          <t xml:space="preserve">
1) June 11
2) August 5</t>
        </r>
      </text>
    </comment>
    <comment ref="R666" authorId="0" shapeId="0" xr:uid="{C7FFA604-94FE-4149-88A2-0E7A8786CFAF}">
      <text>
        <r>
          <rPr>
            <b/>
            <sz val="9"/>
            <color indexed="81"/>
            <rFont val="Tahoma"/>
            <family val="2"/>
          </rPr>
          <t>Klal Yisrael:</t>
        </r>
        <r>
          <rPr>
            <sz val="9"/>
            <color indexed="81"/>
            <rFont val="Tahoma"/>
            <family val="2"/>
          </rPr>
          <t xml:space="preserve">
of 4k</t>
        </r>
      </text>
    </comment>
    <comment ref="U720" authorId="0" shapeId="0" xr:uid="{00000000-0006-0000-0300-000096000000}">
      <text>
        <r>
          <rPr>
            <b/>
            <sz val="9"/>
            <color indexed="81"/>
            <rFont val="Tahoma"/>
            <family val="2"/>
          </rPr>
          <t>Klal Yisrael:</t>
        </r>
        <r>
          <rPr>
            <sz val="9"/>
            <color indexed="81"/>
            <rFont val="Tahoma"/>
            <family val="2"/>
          </rPr>
          <t xml:space="preserve">
From ר"ח סיון עח
Therefore 8 months (סיון-טבת)</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Klal Yisrael</author>
  </authors>
  <commentList>
    <comment ref="G1" authorId="0" shapeId="0" xr:uid="{1C5928B3-2274-4D5E-A65D-11C51BD945C7}">
      <text>
        <r>
          <rPr>
            <b/>
            <sz val="9"/>
            <color indexed="81"/>
            <rFont val="Tahoma"/>
            <family val="2"/>
          </rPr>
          <t>Klal Yisrael:</t>
        </r>
        <r>
          <rPr>
            <sz val="9"/>
            <color indexed="81"/>
            <rFont val="Tahoma"/>
            <family val="2"/>
          </rPr>
          <t xml:space="preserve">
250 pounds
or
$326</t>
        </r>
      </text>
    </comment>
    <comment ref="G3" authorId="0" shapeId="0" xr:uid="{A5E62C91-6ACF-432C-A280-56AE53092D4C}">
      <text>
        <r>
          <rPr>
            <b/>
            <sz val="9"/>
            <color indexed="81"/>
            <rFont val="Tahoma"/>
            <family val="2"/>
          </rPr>
          <t>Klal Yisrael:</t>
        </r>
        <r>
          <rPr>
            <sz val="9"/>
            <color indexed="81"/>
            <rFont val="Tahoma"/>
            <family val="2"/>
          </rPr>
          <t xml:space="preserve">
$100
</t>
        </r>
      </text>
    </comment>
    <comment ref="G4" authorId="0" shapeId="0" xr:uid="{C4672CFF-4BF4-420B-BAA1-BE1FCE214BA5}">
      <text>
        <r>
          <rPr>
            <b/>
            <sz val="9"/>
            <color indexed="81"/>
            <rFont val="Tahoma"/>
            <family val="2"/>
          </rPr>
          <t>Klal Yisrael:</t>
        </r>
        <r>
          <rPr>
            <sz val="9"/>
            <color indexed="81"/>
            <rFont val="Tahoma"/>
            <family val="2"/>
          </rPr>
          <t xml:space="preserve">
$100
</t>
        </r>
      </text>
    </comment>
    <comment ref="G18" authorId="0" shapeId="0" xr:uid="{93DD1509-C2FA-4DC2-84AB-3DF7C95CCB2A}">
      <text>
        <r>
          <rPr>
            <b/>
            <sz val="9"/>
            <color indexed="81"/>
            <rFont val="Tahoma"/>
            <family val="2"/>
          </rPr>
          <t>Klal Yisrael:</t>
        </r>
        <r>
          <rPr>
            <sz val="9"/>
            <color indexed="81"/>
            <rFont val="Tahoma"/>
            <family val="2"/>
          </rPr>
          <t xml:space="preserve">
$2,695</t>
        </r>
      </text>
    </comment>
    <comment ref="B29" authorId="0" shapeId="0" xr:uid="{E9B22E88-1B83-4C31-9190-B1F369929171}">
      <text>
        <r>
          <rPr>
            <b/>
            <sz val="9"/>
            <color indexed="81"/>
            <rFont val="Tahoma"/>
            <family val="2"/>
          </rPr>
          <t>Klal Yisrael:</t>
        </r>
        <r>
          <rPr>
            <sz val="9"/>
            <color indexed="81"/>
            <rFont val="Tahoma"/>
            <family val="2"/>
          </rPr>
          <t xml:space="preserve">
Give back</t>
        </r>
      </text>
    </comment>
    <comment ref="B38" authorId="0" shapeId="0" xr:uid="{35477631-2C2A-4DAD-86BE-E32C8BD4E963}">
      <text>
        <r>
          <rPr>
            <b/>
            <sz val="9"/>
            <color indexed="81"/>
            <rFont val="Tahoma"/>
            <family val="2"/>
          </rPr>
          <t>Klal Yisrael:</t>
        </r>
        <r>
          <rPr>
            <sz val="9"/>
            <color indexed="81"/>
            <rFont val="Tahoma"/>
            <family val="2"/>
          </rPr>
          <t xml:space="preserve">
$200</t>
        </r>
      </text>
    </comment>
    <comment ref="B44" authorId="0" shapeId="0" xr:uid="{D1636A8F-AAF5-4100-B7DC-76CE8F40AE97}">
      <text>
        <r>
          <rPr>
            <b/>
            <sz val="9"/>
            <color indexed="81"/>
            <rFont val="Tahoma"/>
            <family val="2"/>
          </rPr>
          <t>Klal Yisrael:</t>
        </r>
        <r>
          <rPr>
            <sz val="9"/>
            <color indexed="81"/>
            <rFont val="Tahoma"/>
            <family val="2"/>
          </rPr>
          <t xml:space="preserve">
1) 200
50 to give back
2) $200</t>
        </r>
      </text>
    </comment>
    <comment ref="B45" authorId="0" shapeId="0" xr:uid="{AC1F9F00-11FD-4BBF-B95E-D89BD683384B}">
      <text>
        <r>
          <rPr>
            <b/>
            <sz val="9"/>
            <color indexed="81"/>
            <rFont val="Tahoma"/>
            <family val="2"/>
          </rPr>
          <t>Klal Yisrael:</t>
        </r>
        <r>
          <rPr>
            <sz val="9"/>
            <color indexed="81"/>
            <rFont val="Tahoma"/>
            <family val="2"/>
          </rPr>
          <t xml:space="preserve">
For hall - 1050
plus video - 750
Pictures - 200</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Klal Yisrael</author>
  </authors>
  <commentList>
    <comment ref="H20" authorId="0" shapeId="0" xr:uid="{00000000-0006-0000-0400-000001000000}">
      <text>
        <r>
          <rPr>
            <b/>
            <sz val="9"/>
            <color indexed="81"/>
            <rFont val="Tahoma"/>
            <family val="2"/>
          </rPr>
          <t>Klal Yisrael:</t>
        </r>
        <r>
          <rPr>
            <sz val="9"/>
            <color indexed="81"/>
            <rFont val="Tahoma"/>
            <family val="2"/>
          </rPr>
          <t xml:space="preserve">
I paid Ari Sallary</t>
        </r>
      </text>
    </comment>
    <comment ref="M33" authorId="0" shapeId="0" xr:uid="{00000000-0006-0000-0400-000002000000}">
      <text>
        <r>
          <rPr>
            <b/>
            <sz val="9"/>
            <color indexed="81"/>
            <rFont val="Tahoma"/>
            <family val="2"/>
          </rPr>
          <t>Klal Yisrael:</t>
        </r>
        <r>
          <rPr>
            <sz val="9"/>
            <color indexed="81"/>
            <rFont val="Tahoma"/>
            <family val="2"/>
          </rPr>
          <t xml:space="preserve">
4 half hours for AB</t>
        </r>
      </text>
    </comment>
    <comment ref="M35" authorId="0" shapeId="0" xr:uid="{00000000-0006-0000-0400-000003000000}">
      <text>
        <r>
          <rPr>
            <b/>
            <sz val="9"/>
            <color indexed="81"/>
            <rFont val="Tahoma"/>
            <family val="2"/>
          </rPr>
          <t>Klal Yisrael:</t>
        </r>
        <r>
          <rPr>
            <sz val="9"/>
            <color indexed="81"/>
            <rFont val="Tahoma"/>
            <family val="2"/>
          </rPr>
          <t xml:space="preserve">
6 hours for AB</t>
        </r>
      </text>
    </comment>
    <comment ref="M36" authorId="0" shapeId="0" xr:uid="{00000000-0006-0000-0400-000004000000}">
      <text>
        <r>
          <rPr>
            <b/>
            <sz val="9"/>
            <color indexed="81"/>
            <rFont val="Tahoma"/>
            <family val="2"/>
          </rPr>
          <t>Klal Yisrael:</t>
        </r>
        <r>
          <rPr>
            <sz val="9"/>
            <color indexed="81"/>
            <rFont val="Tahoma"/>
            <family val="2"/>
          </rPr>
          <t xml:space="preserve">
בורר - חצי ראשונה</t>
        </r>
      </text>
    </comment>
    <comment ref="M37" authorId="0" shapeId="0" xr:uid="{00000000-0006-0000-0400-000005000000}">
      <text>
        <r>
          <rPr>
            <b/>
            <sz val="9"/>
            <color indexed="81"/>
            <rFont val="Tahoma"/>
            <family val="2"/>
          </rPr>
          <t>Klal Yisrael:</t>
        </r>
        <r>
          <rPr>
            <sz val="9"/>
            <color indexed="81"/>
            <rFont val="Tahoma"/>
            <family val="2"/>
          </rPr>
          <t xml:space="preserve">
בורר - חצי שניה</t>
        </r>
      </text>
    </comment>
    <comment ref="M38" authorId="0" shapeId="0" xr:uid="{00000000-0006-0000-0400-000006000000}">
      <text>
        <r>
          <rPr>
            <b/>
            <sz val="9"/>
            <color indexed="81"/>
            <rFont val="Tahoma"/>
            <family val="2"/>
          </rPr>
          <t>Klal Yisrael:</t>
        </r>
        <r>
          <rPr>
            <sz val="9"/>
            <color indexed="81"/>
            <rFont val="Tahoma"/>
            <family val="2"/>
          </rPr>
          <t xml:space="preserve">
Tzvi Silverman (40 שקל an hour) - שמו"ת.</t>
        </r>
      </text>
    </comment>
    <comment ref="M40" authorId="0" shapeId="0" xr:uid="{00000000-0006-0000-0400-000007000000}">
      <text>
        <r>
          <rPr>
            <b/>
            <sz val="9"/>
            <color indexed="81"/>
            <rFont val="Tahoma"/>
            <family val="2"/>
          </rPr>
          <t>Klal Yisrael:</t>
        </r>
        <r>
          <rPr>
            <sz val="9"/>
            <color indexed="81"/>
            <rFont val="Tahoma"/>
            <family val="2"/>
          </rPr>
          <t xml:space="preserve">
2 hours for AB</t>
        </r>
      </text>
    </comment>
    <comment ref="M42" authorId="0" shapeId="0" xr:uid="{00000000-0006-0000-0400-000008000000}">
      <text>
        <r>
          <rPr>
            <b/>
            <sz val="9"/>
            <color indexed="81"/>
            <rFont val="Tahoma"/>
            <family val="2"/>
          </rPr>
          <t>Klal Yisrael:</t>
        </r>
        <r>
          <rPr>
            <sz val="9"/>
            <color indexed="81"/>
            <rFont val="Tahoma"/>
            <family val="2"/>
          </rPr>
          <t xml:space="preserve">
6.5 hours for AB</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Klal Yisrael</author>
  </authors>
  <commentList>
    <comment ref="H4" authorId="0" shapeId="0" xr:uid="{BF72D261-1B83-4283-9124-8832C816F142}">
      <text>
        <r>
          <rPr>
            <b/>
            <sz val="9"/>
            <color indexed="81"/>
            <rFont val="Tahoma"/>
            <family val="2"/>
          </rPr>
          <t>Klal Yisrael:</t>
        </r>
        <r>
          <rPr>
            <sz val="9"/>
            <color indexed="81"/>
            <rFont val="Tahoma"/>
            <family val="2"/>
          </rPr>
          <t xml:space="preserve">
Jan 3: 49,242 Shekels = $13,344
The Rate 3.69019784...</t>
        </r>
      </text>
    </comment>
    <comment ref="H5" authorId="0" shapeId="0" xr:uid="{550419B7-C56C-4732-B38C-DB09884129E7}">
      <text>
        <r>
          <rPr>
            <b/>
            <sz val="9"/>
            <color indexed="81"/>
            <rFont val="Tahoma"/>
            <family val="2"/>
          </rPr>
          <t>Klal Yisrael:</t>
        </r>
        <r>
          <rPr>
            <sz val="9"/>
            <color indexed="81"/>
            <rFont val="Tahoma"/>
            <family val="2"/>
          </rPr>
          <t xml:space="preserve">
Jan 3: 49,242 Shekels = $13,344
The Rate 3.69019784...</t>
        </r>
      </text>
    </comment>
    <comment ref="H6" authorId="0" shapeId="0" xr:uid="{20C57E76-FA77-4F1B-86F0-A19BCF2C7F39}">
      <text>
        <r>
          <rPr>
            <b/>
            <sz val="9"/>
            <color indexed="81"/>
            <rFont val="Tahoma"/>
            <family val="2"/>
          </rPr>
          <t xml:space="preserve">Klal Yisrael: </t>
        </r>
        <r>
          <rPr>
            <sz val="9"/>
            <color indexed="81"/>
            <rFont val="Tahoma"/>
            <family val="2"/>
          </rPr>
          <t xml:space="preserve">
Jan 3: 49,242 Shekels = $13,344
The Rate 3.69019784...</t>
        </r>
      </text>
    </comment>
    <comment ref="C16" authorId="0" shapeId="0" xr:uid="{C8F33C34-FC17-40F5-AA78-ECDC72603E8C}">
      <text>
        <r>
          <rPr>
            <b/>
            <sz val="9"/>
            <color indexed="81"/>
            <rFont val="Tahoma"/>
            <family val="2"/>
          </rPr>
          <t>Klal Yisrael:</t>
        </r>
        <r>
          <rPr>
            <sz val="9"/>
            <color indexed="81"/>
            <rFont val="Tahoma"/>
            <family val="2"/>
          </rPr>
          <t xml:space="preserve">
For Reb Eli Meyer</t>
        </r>
      </text>
    </comment>
    <comment ref="B20" authorId="0" shapeId="0" xr:uid="{F694B21C-8686-4A86-AF0C-731951CC444F}">
      <text>
        <r>
          <rPr>
            <b/>
            <sz val="9"/>
            <color indexed="81"/>
            <rFont val="Tahoma"/>
            <family val="2"/>
          </rPr>
          <t>Klal Yisrael:</t>
        </r>
        <r>
          <rPr>
            <sz val="9"/>
            <color indexed="81"/>
            <rFont val="Tahoma"/>
            <family val="2"/>
          </rPr>
          <t xml:space="preserve">
The $300 below</t>
        </r>
      </text>
    </comment>
    <comment ref="B40" authorId="0" shapeId="0" xr:uid="{8B97EF62-A35D-4C8C-9EA0-560B58089725}">
      <text>
        <r>
          <rPr>
            <b/>
            <sz val="9"/>
            <color indexed="81"/>
            <rFont val="Tahoma"/>
            <family val="2"/>
          </rPr>
          <t>Klal Yisrael:</t>
        </r>
        <r>
          <rPr>
            <sz val="9"/>
            <color indexed="81"/>
            <rFont val="Tahoma"/>
            <family val="2"/>
          </rPr>
          <t xml:space="preserve">
Together with the $300 above</t>
        </r>
      </text>
    </comment>
    <comment ref="C207" authorId="0" shapeId="0" xr:uid="{27162AB7-FDD8-473B-8BDB-74B9E7791EF3}">
      <text>
        <r>
          <rPr>
            <b/>
            <sz val="9"/>
            <color indexed="81"/>
            <rFont val="Tahoma"/>
            <family val="2"/>
          </rPr>
          <t>Klal Yisrael:</t>
        </r>
        <r>
          <rPr>
            <sz val="9"/>
            <color indexed="81"/>
            <rFont val="Tahoma"/>
            <family val="2"/>
          </rPr>
          <t xml:space="preserve">
Pesach Miller</t>
        </r>
      </text>
    </comment>
    <comment ref="D213" authorId="0" shapeId="0" xr:uid="{99DFAD28-2BBE-4D06-BB00-13E1BCE309D7}">
      <text>
        <r>
          <rPr>
            <b/>
            <sz val="9"/>
            <color indexed="81"/>
            <rFont val="Tahoma"/>
            <family val="2"/>
          </rPr>
          <t>Klal Yisrael:</t>
        </r>
        <r>
          <rPr>
            <sz val="9"/>
            <color indexed="81"/>
            <rFont val="Tahoma"/>
            <family val="2"/>
          </rPr>
          <t xml:space="preserve">
1) $2,500 - Part 1 of 4
$10,000 - For Reb Meir Schwartz</t>
        </r>
      </text>
    </comment>
    <comment ref="D222" authorId="0" shapeId="0" xr:uid="{1DBBD2E9-6C03-41E4-A992-2035FCBD5E3C}">
      <text>
        <r>
          <rPr>
            <b/>
            <sz val="9"/>
            <color indexed="81"/>
            <rFont val="Tahoma"/>
            <family val="2"/>
          </rPr>
          <t>Klal Yisrael:</t>
        </r>
        <r>
          <rPr>
            <sz val="9"/>
            <color indexed="81"/>
            <rFont val="Tahoma"/>
            <family val="2"/>
          </rPr>
          <t xml:space="preserve">
1) $2,500 - Part 2 of 4
$10,000 - For Reb Meir Schwartz</t>
        </r>
      </text>
    </comment>
    <comment ref="D256" authorId="0" shapeId="0" xr:uid="{42877AEA-323D-41BF-902B-2EF266E377D1}">
      <text>
        <r>
          <rPr>
            <b/>
            <sz val="9"/>
            <color indexed="81"/>
            <rFont val="Tahoma"/>
            <family val="2"/>
          </rPr>
          <t>Klal Yisrael:</t>
        </r>
        <r>
          <rPr>
            <sz val="9"/>
            <color indexed="81"/>
            <rFont val="Tahoma"/>
            <family val="2"/>
          </rPr>
          <t xml:space="preserve">
1) $2,500 - Part 3 of 4
$10,000 - For Reb Meir Schwartz</t>
        </r>
      </text>
    </comment>
    <comment ref="D296" authorId="0" shapeId="0" xr:uid="{C2A7925B-51AF-4AB3-842A-C9E3332F1280}">
      <text>
        <r>
          <rPr>
            <b/>
            <sz val="9"/>
            <color indexed="81"/>
            <rFont val="Tahoma"/>
            <family val="2"/>
          </rPr>
          <t>Klal Yisrael:</t>
        </r>
        <r>
          <rPr>
            <sz val="9"/>
            <color indexed="81"/>
            <rFont val="Tahoma"/>
            <family val="2"/>
          </rPr>
          <t xml:space="preserve">
1) $2,500 - Part 4 of 4
$10,000 - For Reb Meir Schwartz</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Stilerman</author>
  </authors>
  <commentList>
    <comment ref="A11" authorId="0" shapeId="0" xr:uid="{2BC26753-200D-4DE1-A459-8DC41559B033}">
      <text>
        <r>
          <rPr>
            <b/>
            <sz val="9"/>
            <color indexed="81"/>
            <rFont val="Tahoma"/>
            <family val="2"/>
          </rPr>
          <t>Stilerman:
$</t>
        </r>
        <r>
          <rPr>
            <sz val="9"/>
            <color indexed="81"/>
            <rFont val="Tahoma"/>
            <family val="2"/>
          </rPr>
          <t>485</t>
        </r>
        <r>
          <rPr>
            <sz val="9"/>
            <color indexed="81"/>
            <rFont val="Tahoma"/>
            <family val="2"/>
          </rPr>
          <t xml:space="preserve">
+ portland $75 - Ahuvi paid $70</t>
        </r>
      </text>
    </comment>
    <comment ref="F17" authorId="0" shapeId="0" xr:uid="{74AC950D-7034-428D-912D-980EF770774E}">
      <text>
        <r>
          <rPr>
            <b/>
            <sz val="9"/>
            <color indexed="81"/>
            <rFont val="Tahoma"/>
            <family val="2"/>
          </rPr>
          <t>Stilerman:</t>
        </r>
        <r>
          <rPr>
            <sz val="9"/>
            <color indexed="81"/>
            <rFont val="Tahoma"/>
            <family val="2"/>
          </rPr>
          <t xml:space="preserve">
Told Yossi - to pay back from seforim</t>
        </r>
      </text>
    </comment>
    <comment ref="G18" authorId="0" shapeId="0" xr:uid="{EF7814FD-0EDA-4113-8F0C-763BFE354F8D}">
      <text>
        <r>
          <rPr>
            <b/>
            <sz val="9"/>
            <color indexed="81"/>
            <rFont val="Tahoma"/>
            <family val="2"/>
          </rPr>
          <t>Stilerman:</t>
        </r>
        <r>
          <rPr>
            <sz val="9"/>
            <color indexed="81"/>
            <rFont val="Tahoma"/>
            <family val="2"/>
          </rPr>
          <t xml:space="preserve">
5) Lakewood - $1,440</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Klal Yisrael</author>
    <author>Stilerman</author>
    <author>stilerman</author>
  </authors>
  <commentList>
    <comment ref="G3" authorId="0" shapeId="0" xr:uid="{00000000-0006-0000-0500-000001000000}">
      <text>
        <r>
          <rPr>
            <b/>
            <sz val="9"/>
            <color indexed="81"/>
            <rFont val="Tahoma"/>
            <family val="2"/>
          </rPr>
          <t>Klal Yisrael:</t>
        </r>
        <r>
          <rPr>
            <sz val="9"/>
            <color indexed="81"/>
            <rFont val="Tahoma"/>
            <family val="2"/>
          </rPr>
          <t xml:space="preserve">
1) Besras Hashem - through Keren Orah
(part of $5,300)
2) From חבורה
</t>
        </r>
      </text>
    </comment>
    <comment ref="U3" authorId="1" shapeId="0" xr:uid="{00000000-0006-0000-0500-000002000000}">
      <text>
        <r>
          <rPr>
            <b/>
            <sz val="9"/>
            <color indexed="81"/>
            <rFont val="Tahoma"/>
            <family val="2"/>
          </rPr>
          <t>Stilerman:</t>
        </r>
        <r>
          <rPr>
            <sz val="9"/>
            <color indexed="81"/>
            <rFont val="Tahoma"/>
            <family val="2"/>
          </rPr>
          <t xml:space="preserve">
$800 from father</t>
        </r>
      </text>
    </comment>
    <comment ref="AD3" authorId="1" shapeId="0" xr:uid="{00000000-0006-0000-0500-000003000000}">
      <text>
        <r>
          <rPr>
            <b/>
            <sz val="9"/>
            <color indexed="81"/>
            <rFont val="Tahoma"/>
            <family val="2"/>
          </rPr>
          <t>Stilerman:</t>
        </r>
        <r>
          <rPr>
            <sz val="9"/>
            <color indexed="81"/>
            <rFont val="Tahoma"/>
            <family val="2"/>
          </rPr>
          <t xml:space="preserve">
1) 270 - לע"נ גריינברג
+ 45
2) Father $200 (730 שקל)
+200 שקל
</t>
        </r>
      </text>
    </comment>
    <comment ref="S19" authorId="1" shapeId="0" xr:uid="{00000000-0006-0000-0500-000004000000}">
      <text>
        <r>
          <rPr>
            <b/>
            <sz val="9"/>
            <color indexed="81"/>
            <rFont val="Tahoma"/>
            <family val="2"/>
          </rPr>
          <t>Stilerman:</t>
        </r>
        <r>
          <rPr>
            <sz val="9"/>
            <color indexed="81"/>
            <rFont val="Tahoma"/>
            <family val="2"/>
          </rPr>
          <t xml:space="preserve">
estee paid</t>
        </r>
      </text>
    </comment>
    <comment ref="AB42" authorId="2" shapeId="0" xr:uid="{00000000-0006-0000-0500-000005000000}">
      <text>
        <r>
          <rPr>
            <b/>
            <sz val="9"/>
            <color indexed="81"/>
            <rFont val="Tahoma"/>
            <family val="2"/>
          </rPr>
          <t>stilerman:</t>
        </r>
        <r>
          <rPr>
            <sz val="9"/>
            <color indexed="81"/>
            <rFont val="Tahoma"/>
            <family val="2"/>
          </rPr>
          <t xml:space="preserve">
שמולי גריינברג</t>
        </r>
      </text>
    </comment>
    <comment ref="AB73" authorId="1" shapeId="0" xr:uid="{00000000-0006-0000-0500-000006000000}">
      <text>
        <r>
          <rPr>
            <b/>
            <sz val="9"/>
            <color indexed="81"/>
            <rFont val="Tahoma"/>
            <family val="2"/>
          </rPr>
          <t>Stilerman:</t>
        </r>
        <r>
          <rPr>
            <sz val="9"/>
            <color indexed="81"/>
            <rFont val="Tahoma"/>
            <family val="2"/>
          </rPr>
          <t xml:space="preserve">
from חסד</t>
        </r>
      </text>
    </comment>
  </commentList>
</comments>
</file>

<file path=xl/sharedStrings.xml><?xml version="1.0" encoding="utf-8"?>
<sst xmlns="http://schemas.openxmlformats.org/spreadsheetml/2006/main" count="2836" uniqueCount="2040">
  <si>
    <t>Rav Eliezer Schreiber</t>
  </si>
  <si>
    <t>Rav Avraham Yaakov Schreiber</t>
  </si>
  <si>
    <t>Rav Ari Ginsberg</t>
  </si>
  <si>
    <t>Rav Maier Shabsai Schreiber</t>
  </si>
  <si>
    <t>Rav Ilan Flax</t>
  </si>
  <si>
    <t>Rav Yisrael Stilerman</t>
  </si>
  <si>
    <t>Rav Binyomin Bulka</t>
  </si>
  <si>
    <t>Rav Tzvi Silverman</t>
  </si>
  <si>
    <t>Rav Avrohom Bamberger</t>
  </si>
  <si>
    <t>Rav Nochum Stilerman</t>
  </si>
  <si>
    <t>Rav Yehuda Geberer</t>
  </si>
  <si>
    <t>Rav Dovid Fishman</t>
  </si>
  <si>
    <t>Rav Elisha Sekula</t>
  </si>
  <si>
    <t>Rav Pesach Miller</t>
  </si>
  <si>
    <t>Rav Moshe Yarmish</t>
  </si>
  <si>
    <t>Rav Moshe Gold</t>
  </si>
  <si>
    <t>Rav Yitzchok Caplan</t>
  </si>
  <si>
    <t>Rav Yisrael Brown</t>
  </si>
  <si>
    <t>Rav Ahron Friedman</t>
  </si>
  <si>
    <t>Rav Yisrael Tzodek Fink</t>
  </si>
  <si>
    <t>סימן שכח סעיף ב' - טז</t>
  </si>
  <si>
    <t>סימן שכח סעיף יז</t>
  </si>
  <si>
    <t>received</t>
  </si>
  <si>
    <t>סימן שכט</t>
  </si>
  <si>
    <t>סימן של</t>
  </si>
  <si>
    <t>סימן שלו</t>
  </si>
  <si>
    <t>copies</t>
  </si>
  <si>
    <t>pages</t>
  </si>
  <si>
    <t>per page</t>
  </si>
  <si>
    <t>cost</t>
  </si>
  <si>
    <t>Rav Yakov Schoss</t>
  </si>
  <si>
    <t>סימן שלא</t>
  </si>
  <si>
    <t>יו"ד סימן רסה</t>
  </si>
  <si>
    <t>סימן שכח סעיף יח-לו</t>
  </si>
  <si>
    <t>סימן שכח סעיף לז</t>
  </si>
  <si>
    <t>ממחק</t>
  </si>
  <si>
    <t>סימן שלג</t>
  </si>
  <si>
    <t>owe store</t>
  </si>
  <si>
    <t>Total cost</t>
  </si>
  <si>
    <t>סימן שכח סעיף לח-מט</t>
  </si>
  <si>
    <t>קידוש לבת</t>
  </si>
  <si>
    <t>אמירה לנכרי - הקדמה</t>
  </si>
  <si>
    <t>כותב</t>
  </si>
  <si>
    <t>כלאחר יד</t>
  </si>
  <si>
    <t>סימן רמג, רמד א-ד</t>
  </si>
  <si>
    <t>מלאכת צד</t>
  </si>
  <si>
    <t>סימן שמב</t>
  </si>
  <si>
    <t>סימן רמד ה-ו, רמו א-ב</t>
  </si>
  <si>
    <t>סימן רמ"ח</t>
  </si>
  <si>
    <t>סימן שכ"ה</t>
  </si>
  <si>
    <t>סימן רנ"ב</t>
  </si>
  <si>
    <t>סימן רמ"ז</t>
  </si>
  <si>
    <t>סימן רעו סעיף א-ב</t>
  </si>
  <si>
    <t>קלקול - משאצל"ג</t>
  </si>
  <si>
    <t>סימן שמ"ג</t>
  </si>
  <si>
    <t>סימן רעו סעיף ג-ה</t>
  </si>
  <si>
    <t>קורע</t>
  </si>
  <si>
    <t>תופר</t>
  </si>
  <si>
    <t>מחתך</t>
  </si>
  <si>
    <t>מתעסק</t>
  </si>
  <si>
    <t>מראי מקומות</t>
  </si>
  <si>
    <t>Josef</t>
  </si>
  <si>
    <t>גרינברג</t>
  </si>
  <si>
    <t>Teitelbaum, Eli</t>
  </si>
  <si>
    <t>Monthly</t>
  </si>
  <si>
    <t>Fromovitz, Yitzy</t>
  </si>
  <si>
    <t>?</t>
  </si>
  <si>
    <t>Levin, Eli</t>
  </si>
  <si>
    <t>Greenberg, Shmuli</t>
  </si>
  <si>
    <t>elilevin@outlook.com</t>
  </si>
  <si>
    <t>yitzfromo@gmail.com</t>
  </si>
  <si>
    <t>etteity@gmail.com</t>
  </si>
  <si>
    <t>Sheckel</t>
  </si>
  <si>
    <t>Levi, Michael</t>
  </si>
  <si>
    <t>Vinitsky, Moshe</t>
  </si>
  <si>
    <t>moshevinitsky@yahoo.com</t>
  </si>
  <si>
    <t>Josowitz, Moshe</t>
  </si>
  <si>
    <t>Ehrenreich, Avrumi</t>
  </si>
  <si>
    <t>abrahamehrenreich@gmail.com</t>
  </si>
  <si>
    <t>Sova, Asher</t>
  </si>
  <si>
    <t>arsovao@gmail.com</t>
  </si>
  <si>
    <t>Koschitzki, Eli</t>
  </si>
  <si>
    <t>eliotklol9@gmail.com</t>
  </si>
  <si>
    <t>Heimowitz, Avrhom</t>
  </si>
  <si>
    <t>Sherer, Matis</t>
  </si>
  <si>
    <t>matsherer@yahoo.com</t>
  </si>
  <si>
    <t>Wagschal, Asher</t>
  </si>
  <si>
    <t>azwagschal@gmail.com</t>
  </si>
  <si>
    <t>Greenberg, Tuvia</t>
  </si>
  <si>
    <t>tuviagreenberg@gmail.com</t>
  </si>
  <si>
    <t>Total</t>
  </si>
  <si>
    <t>Leberwitz, Yisrael Dov</t>
  </si>
  <si>
    <t>סימן רפה</t>
  </si>
  <si>
    <t>מוקצה</t>
  </si>
  <si>
    <t>plus spiral!</t>
  </si>
  <si>
    <t>סי' ש"ז סעיף ב-ה</t>
  </si>
  <si>
    <t>Salasnik, AD</t>
  </si>
  <si>
    <t>Adler, Noam</t>
  </si>
  <si>
    <t>Goldstein, Yitzchak</t>
  </si>
  <si>
    <t>yitzygoldstein@gmail.com</t>
  </si>
  <si>
    <t>Davis, Yehuda</t>
  </si>
  <si>
    <t>malky.caplon@achieve3000.com</t>
  </si>
  <si>
    <t>Fishman, Dovid</t>
  </si>
  <si>
    <t>shosheff85@gmail</t>
  </si>
  <si>
    <t>Y.E.S.</t>
  </si>
  <si>
    <t>???</t>
  </si>
  <si>
    <t>סי' ש"ז סעיף י"ט-כב</t>
  </si>
  <si>
    <t>Sekula, Elisha</t>
  </si>
  <si>
    <t>aich.areio@gmail.com</t>
  </si>
  <si>
    <t>Noble, Eric</t>
  </si>
  <si>
    <t>12 months</t>
  </si>
  <si>
    <t>elinoble2@gmail.com</t>
  </si>
  <si>
    <t>cash</t>
  </si>
  <si>
    <t>azsimons89@gmail.com</t>
  </si>
  <si>
    <t xml:space="preserve">Simons, Aaron </t>
  </si>
  <si>
    <t>S.B.I.</t>
  </si>
  <si>
    <t>Hertzka, Menachem</t>
  </si>
  <si>
    <t>from SBI+M</t>
  </si>
  <si>
    <t>from YES+M</t>
  </si>
  <si>
    <t>from Et+M</t>
  </si>
  <si>
    <t>from group</t>
  </si>
  <si>
    <t>סימן רסג, אמירה לישראל</t>
  </si>
  <si>
    <t>סימן שכ, חולב</t>
  </si>
  <si>
    <t>סימן רצא</t>
  </si>
  <si>
    <t>Mis</t>
  </si>
  <si>
    <t>receives</t>
  </si>
  <si>
    <t>missing</t>
  </si>
  <si>
    <t>mish</t>
  </si>
  <si>
    <t>total</t>
  </si>
  <si>
    <t>from Steve+M</t>
  </si>
  <si>
    <t>Gold, Moshe</t>
  </si>
  <si>
    <t>Monthly pledges: $591 and 54₪</t>
  </si>
  <si>
    <t>credit cards - $2180   cash - $407 and 3720₪</t>
  </si>
  <si>
    <t>סימן רצב</t>
  </si>
  <si>
    <t>סימן רצג</t>
  </si>
  <si>
    <t>סימן שכד סעיף י"א</t>
  </si>
  <si>
    <t>סימן שכ סעיף א-ח</t>
  </si>
  <si>
    <t>mjosowitz@gmail.com</t>
  </si>
  <si>
    <t>Hoffman, Barry</t>
  </si>
  <si>
    <t>Zooker</t>
  </si>
  <si>
    <t>Yellow</t>
  </si>
  <si>
    <t>Red</t>
  </si>
  <si>
    <t>Did not come in yet</t>
  </si>
  <si>
    <t>one time</t>
  </si>
  <si>
    <t>Schwimer, Shlomo</t>
  </si>
  <si>
    <t>From us + M</t>
  </si>
  <si>
    <t>Chaburas R Caplan</t>
  </si>
  <si>
    <t>from Gold+M</t>
  </si>
  <si>
    <t>from Simon+M</t>
  </si>
  <si>
    <t>סימן רצד</t>
  </si>
  <si>
    <t>סימן רצה</t>
  </si>
  <si>
    <t>Goldsmith, Shmuli</t>
  </si>
  <si>
    <t>from YES+hert+?</t>
  </si>
  <si>
    <t>סימן שכ סעיף טו-יח</t>
  </si>
  <si>
    <t>סימן שב סעיף א-ב</t>
  </si>
  <si>
    <t>סימן שב סעיף ג</t>
  </si>
  <si>
    <t xml:space="preserve">robertherzka@gmail.com </t>
  </si>
  <si>
    <t>from Et+M+Caplon</t>
  </si>
  <si>
    <t>סימן  שכג סעיף ו</t>
  </si>
  <si>
    <t>Gold, Reb Shmuel</t>
  </si>
  <si>
    <t>Gordon, Nicholas</t>
  </si>
  <si>
    <t>Gorden, Daniel</t>
  </si>
  <si>
    <t>Rabinowitz, Nesanel</t>
  </si>
  <si>
    <t>מליחה</t>
  </si>
  <si>
    <t>גוזז</t>
  </si>
  <si>
    <t>For Rabbi</t>
  </si>
  <si>
    <t>Michal Soroka</t>
  </si>
  <si>
    <t>owe</t>
  </si>
  <si>
    <t>סימן רצו</t>
  </si>
  <si>
    <t>Hertzcha, Menachem</t>
  </si>
  <si>
    <t>Yom-Tov</t>
  </si>
  <si>
    <t>Zichron Avos (for this month - next month, it might be from a different organization).</t>
  </si>
  <si>
    <t>סימן רצח</t>
  </si>
  <si>
    <t>סימן שב סעיף ה-ח</t>
  </si>
  <si>
    <t>paid</t>
  </si>
  <si>
    <t>Blobstein, Yanky</t>
  </si>
  <si>
    <t>Heitner, Yechiel</t>
  </si>
  <si>
    <t>דליקה</t>
  </si>
  <si>
    <t>טוחן</t>
  </si>
  <si>
    <t>קושר</t>
  </si>
  <si>
    <t>מפשיט</t>
  </si>
  <si>
    <t>בשר</t>
  </si>
  <si>
    <t>מספר</t>
  </si>
  <si>
    <t>מעמר</t>
  </si>
  <si>
    <t>סימן רצ"ט</t>
  </si>
  <si>
    <t>סימן שב סעיף ט-יג</t>
  </si>
  <si>
    <t>left</t>
  </si>
  <si>
    <t>Total - Extra</t>
  </si>
  <si>
    <t>double</t>
  </si>
  <si>
    <t>Caplon</t>
  </si>
  <si>
    <t>MW</t>
  </si>
  <si>
    <t>סימן שכא - לש</t>
  </si>
  <si>
    <t>חורף זמן</t>
  </si>
  <si>
    <t>תשעז</t>
  </si>
  <si>
    <t>קיץ זמן תשעז</t>
  </si>
  <si>
    <t>Sternberg, Mortechai</t>
  </si>
  <si>
    <t>Rav Meir Schwartz</t>
  </si>
  <si>
    <t>Newberger, yehuda</t>
  </si>
  <si>
    <t>Birnbaum, Shloimy</t>
  </si>
  <si>
    <t>Wolff, Binyomin</t>
  </si>
  <si>
    <t>Lifshitz, Yosef</t>
  </si>
  <si>
    <t>Landau, Shachar</t>
  </si>
  <si>
    <t>whole year</t>
  </si>
  <si>
    <t>Schwable, Moshe</t>
  </si>
  <si>
    <t>I payed</t>
  </si>
  <si>
    <t>------------------------------------------------------------------------------------------------------------------------------------------------------------------------------------------------------------------</t>
  </si>
  <si>
    <t>together</t>
  </si>
  <si>
    <t>gets/yearly</t>
  </si>
  <si>
    <t>Started: Beginning Adar except MW (he started nisson)</t>
  </si>
  <si>
    <t>Estee Y.</t>
  </si>
  <si>
    <t>סימן ש</t>
  </si>
  <si>
    <t>סימן רנג סעיף א</t>
  </si>
  <si>
    <t>הילמי</t>
  </si>
  <si>
    <t>סימן שא</t>
  </si>
  <si>
    <t>טבילה, הגעלת כלים</t>
  </si>
  <si>
    <t>לא ילבש</t>
  </si>
  <si>
    <t>סימן רנג סעיף ד</t>
  </si>
  <si>
    <t>סימן רנג סעיף ב</t>
  </si>
  <si>
    <t>סימן רנג סעיף ג,ה</t>
  </si>
  <si>
    <t>פאות הראש</t>
  </si>
  <si>
    <t>Rav Moshe Kagan</t>
  </si>
  <si>
    <t>president</t>
  </si>
  <si>
    <t>תפילת השל"ה</t>
  </si>
  <si>
    <t>שו סעיף ד-ה</t>
  </si>
  <si>
    <t>שו סעיף ד-ו</t>
  </si>
  <si>
    <t>פאות הזקן</t>
  </si>
  <si>
    <t>סימן רנד</t>
  </si>
  <si>
    <t>סימן רנה - רנו</t>
  </si>
  <si>
    <t>שו סעיף ז-ח</t>
  </si>
  <si>
    <t>שבתי</t>
  </si>
  <si>
    <t>חזרה - נדה - גרדן</t>
  </si>
  <si>
    <t>פת עכום, בישול עכום</t>
  </si>
  <si>
    <t>טור יוד קכא, קכב</t>
  </si>
  <si>
    <t>מדבר שקר</t>
  </si>
  <si>
    <t>מדבר שקר 2</t>
  </si>
  <si>
    <t>דם</t>
  </si>
  <si>
    <t>חזרה - נדה - יוסי 2</t>
  </si>
  <si>
    <t>חזרה - נדה - גרדן 3</t>
  </si>
  <si>
    <t>רנג-רנט</t>
  </si>
  <si>
    <t>Succas</t>
  </si>
  <si>
    <t>רנז סעיף ח</t>
  </si>
  <si>
    <t>שז - דבר דבור</t>
  </si>
  <si>
    <t>כבוד הספרים - רפב</t>
  </si>
  <si>
    <t>קפלן</t>
  </si>
  <si>
    <t>ריחא + צב סעיף ח' +</t>
  </si>
  <si>
    <t>כבוד הספרים 2 - רפב</t>
  </si>
  <si>
    <t>בישול</t>
  </si>
  <si>
    <t>רנח</t>
  </si>
  <si>
    <t>רנט</t>
  </si>
  <si>
    <t>שז סעיף יא</t>
  </si>
  <si>
    <t>בחוקותיהם לא תלכו</t>
  </si>
  <si>
    <t>שיח סעיף א'</t>
  </si>
  <si>
    <t>כישוף</t>
  </si>
  <si>
    <t>שיח סעיף ג'</t>
  </si>
  <si>
    <t>Berachos, Peah, Dimai, Kilayim</t>
  </si>
  <si>
    <t>Shviis, Terumos, Maasros, Maaser Sheni</t>
  </si>
  <si>
    <t>שיח סעיף ב'</t>
  </si>
  <si>
    <t>שיח סעיף ד'</t>
  </si>
  <si>
    <t>שטרי הדיוטית</t>
  </si>
  <si>
    <t>ט"ו תמוז</t>
  </si>
  <si>
    <t>י"ב תמוז</t>
  </si>
  <si>
    <t>שיח סעיף ה'</t>
  </si>
  <si>
    <t>ג' שבועות</t>
  </si>
  <si>
    <t>ט"ז תמוז</t>
  </si>
  <si>
    <t>סימן שכב סעיף ו', גורל</t>
  </si>
  <si>
    <t>רמב</t>
  </si>
  <si>
    <t>י"ז תמוז</t>
  </si>
  <si>
    <t>שיח סעיף ו'-ט'</t>
  </si>
  <si>
    <t>י"ט תמוז</t>
  </si>
  <si>
    <t>שיח סעיף י'-יב</t>
  </si>
  <si>
    <t>What yossi friend gives - do not touch</t>
  </si>
  <si>
    <t>כב תמוז</t>
  </si>
  <si>
    <t>קשה לשכחה</t>
  </si>
  <si>
    <t>כג תמוז</t>
  </si>
  <si>
    <t>שהייה</t>
  </si>
  <si>
    <t>מוליד ריחא</t>
  </si>
  <si>
    <t>מוליד</t>
  </si>
  <si>
    <t>סוף בישול</t>
  </si>
  <si>
    <t>שטרי הדיוטות</t>
  </si>
  <si>
    <t>כד תמוז</t>
  </si>
  <si>
    <t>סימן שכ - מוליד</t>
  </si>
  <si>
    <t>סימן שיח סעיף יג-טו</t>
  </si>
  <si>
    <t>סימן שכג א-ה, קנין צרכי שבת</t>
  </si>
  <si>
    <t>ר"ח אב</t>
  </si>
  <si>
    <t>שיח סעיף טז</t>
  </si>
  <si>
    <t>שיח סעיף יח</t>
  </si>
  <si>
    <t>סימן שכו</t>
  </si>
  <si>
    <t>6+6 months</t>
  </si>
  <si>
    <t>Marmor, Yakov</t>
  </si>
  <si>
    <t>פאות - קפא</t>
  </si>
  <si>
    <t>4+4 months</t>
  </si>
  <si>
    <t>Rav Dan Roth</t>
  </si>
  <si>
    <t>Rav Binyomin Wolff</t>
  </si>
  <si>
    <t>אלול</t>
  </si>
  <si>
    <t>סימן קי</t>
  </si>
  <si>
    <t>סימן שטו סעיף א</t>
  </si>
  <si>
    <t>ממצוא חפצך</t>
  </si>
  <si>
    <t>בבקשות בשבת</t>
  </si>
  <si>
    <t>Through Ahron Friedman</t>
  </si>
  <si>
    <t>Yearly</t>
  </si>
  <si>
    <t>Mishnayis</t>
  </si>
  <si>
    <t>Missing</t>
  </si>
  <si>
    <t>Dovid Fishman</t>
  </si>
  <si>
    <t>YSS</t>
  </si>
  <si>
    <t>Ezras</t>
  </si>
  <si>
    <t>סימן שטו סעיף ב-ו</t>
  </si>
  <si>
    <t>רב יצחק קפלן</t>
  </si>
  <si>
    <t>סימן שטו סעיף ה-יא</t>
  </si>
  <si>
    <t>סימן שא סעיף מ-מא</t>
  </si>
  <si>
    <t>סימן שטו סעיף יב-יג</t>
  </si>
  <si>
    <t>עזרת אחים</t>
  </si>
  <si>
    <t>NS &amp; DS</t>
  </si>
  <si>
    <t>Gets: total</t>
  </si>
  <si>
    <t>Still need to get</t>
  </si>
  <si>
    <t>jmarmor08@gmail.com</t>
  </si>
  <si>
    <t>1) beging of Adar until beginning of kislev</t>
  </si>
  <si>
    <t>1200*10 = 12,000</t>
  </si>
  <si>
    <t>2) gave</t>
  </si>
  <si>
    <t>2700 (5/25)</t>
  </si>
  <si>
    <t>5400 (9/18)</t>
  </si>
  <si>
    <t>= 16,000</t>
  </si>
  <si>
    <t>3) give out $4000</t>
  </si>
  <si>
    <t>3 month + 50</t>
  </si>
  <si>
    <t>4) mising $600</t>
  </si>
  <si>
    <t>Moed Katan, Chagiga, Yevamos, Kesubos 1-7</t>
  </si>
  <si>
    <t>Kesubos 8-13, Nedarim, Nazir, Sotah 1-4</t>
  </si>
  <si>
    <t xml:space="preserve">Challa, Orlah, Bikkurim, Shabbos, Eruvin 1-3 </t>
  </si>
  <si>
    <t>Eiruvin 4-10, Pesachim, Shekalim, Yuma 1-3</t>
  </si>
  <si>
    <t>Yuma 4-8, Sukkah, Beitza, Rosh Hashana, Taanis, Meggilla</t>
  </si>
  <si>
    <t>Sotah 5-9, Gittin, Kedushin, Baba Kama 1-8</t>
  </si>
  <si>
    <t>Baba Kama 9-10, Baba Metziah, Baba Basra</t>
  </si>
  <si>
    <t>Sanhedrin, Makkos, Shvuos, Eduyos 1-3</t>
  </si>
  <si>
    <t>Eduyos 4-8, Avoda Zara, Avos, Horiyos</t>
  </si>
  <si>
    <t>Zevachim, Menachos, Chulin 1</t>
  </si>
  <si>
    <t>Temurah, Kerisos, Meila, Tamid, Middos</t>
  </si>
  <si>
    <t>Rav נועם</t>
  </si>
  <si>
    <t>Beginning Tishrei</t>
  </si>
  <si>
    <t>Cheshvan</t>
  </si>
  <si>
    <t>Tevas</t>
  </si>
  <si>
    <t>Shvat</t>
  </si>
  <si>
    <t>Adar</t>
  </si>
  <si>
    <t>Pesach</t>
  </si>
  <si>
    <t>Nissan</t>
  </si>
  <si>
    <t>Irar</t>
  </si>
  <si>
    <t>Sivan</t>
  </si>
  <si>
    <t>Tamus</t>
  </si>
  <si>
    <t>סימן של"ז</t>
  </si>
  <si>
    <t>mistake</t>
  </si>
  <si>
    <t>Cash</t>
  </si>
  <si>
    <t>Yossi: SDK</t>
  </si>
  <si>
    <t>Rav Moshe Herskine</t>
  </si>
  <si>
    <t>סימן של"ח</t>
  </si>
  <si>
    <t>סימן של"ט</t>
  </si>
  <si>
    <t>Still need to give another 161</t>
  </si>
  <si>
    <t>Rav Eli Rosenberg</t>
  </si>
  <si>
    <t>Started 10/23</t>
  </si>
  <si>
    <t>טמטום</t>
  </si>
  <si>
    <t>שו"ע סימן צח</t>
  </si>
  <si>
    <t>פז, פח, פט</t>
  </si>
  <si>
    <t>קפילה - סימן צח סעיף א</t>
  </si>
  <si>
    <t>טעימה</t>
  </si>
  <si>
    <t>מין במינו, טעם כעיקר</t>
  </si>
  <si>
    <t>בשר בחלב</t>
  </si>
  <si>
    <t>סעיף ב-ג - ספק ששים</t>
  </si>
  <si>
    <t>Greenberg</t>
  </si>
  <si>
    <t>משניות</t>
  </si>
  <si>
    <t>סעיף ד-ה</t>
  </si>
  <si>
    <t>סעיף ו-ט</t>
  </si>
  <si>
    <t>Yossi</t>
  </si>
  <si>
    <t>I gave</t>
  </si>
  <si>
    <t>I owe ezras</t>
  </si>
  <si>
    <t>From Mishnayos To RYC</t>
  </si>
  <si>
    <t>Sruli M will give $1,500 for printing - that will be the trade off.</t>
  </si>
  <si>
    <t>Markowitz, Sruly</t>
  </si>
  <si>
    <t>Verstandig</t>
  </si>
  <si>
    <t>Weiss, Chesky</t>
  </si>
  <si>
    <t>Ozary</t>
  </si>
  <si>
    <t>For reb Caplan And Reb Eli - From Menachem</t>
  </si>
  <si>
    <t>Kinim, Keilim 1-27</t>
  </si>
  <si>
    <t>סימן צט סעיף א</t>
  </si>
  <si>
    <t>סימן צט סעיף ד</t>
  </si>
  <si>
    <t>דפים - שו"ע, רע"א, תרה"ד</t>
  </si>
  <si>
    <t>סימן צט סעיף ה</t>
  </si>
  <si>
    <t>סימן צט סעיף ה - קנס</t>
  </si>
  <si>
    <t>סימן פד סעיף יג-יד</t>
  </si>
  <si>
    <t>סימן צט סעיף ו</t>
  </si>
  <si>
    <t>סימן צט סעיף ז</t>
  </si>
  <si>
    <t>Rav Dov Lebowitz/ Hecker</t>
  </si>
  <si>
    <t>Ezriel Friedman</t>
  </si>
  <si>
    <t>Yehuda L</t>
  </si>
  <si>
    <t>For Reb Friend from reb Arey Ginzberg</t>
  </si>
  <si>
    <t>----------------------------------------------------------------------------</t>
  </si>
  <si>
    <t>Yossi Chabura</t>
  </si>
  <si>
    <t>Personal</t>
  </si>
  <si>
    <t>סימן ק</t>
  </si>
  <si>
    <t>סימן קא</t>
  </si>
  <si>
    <t>From Reb Mordechai Chasnah - $500 Tratner, $200 Winkler, $100 (bram Greenberg - paypal) - I kept in my capital account, cash</t>
  </si>
  <si>
    <t>MSS</t>
  </si>
  <si>
    <t>Eli M</t>
  </si>
  <si>
    <t>Avrohom B</t>
  </si>
  <si>
    <t>Mo St</t>
  </si>
  <si>
    <t>Friend</t>
  </si>
  <si>
    <t>Rav Elisha</t>
  </si>
  <si>
    <t>Ilan</t>
  </si>
  <si>
    <t>Caplon, Rabbi Yitzchok</t>
  </si>
  <si>
    <t>Katz</t>
  </si>
  <si>
    <t>Gold</t>
  </si>
  <si>
    <t>bottom</t>
  </si>
  <si>
    <t>Malis</t>
  </si>
  <si>
    <t>Zader, Yedah</t>
  </si>
  <si>
    <t>Muller</t>
  </si>
  <si>
    <t>6 months</t>
  </si>
  <si>
    <t>5 months</t>
  </si>
  <si>
    <t>Schimmer</t>
  </si>
  <si>
    <t>raise to 300</t>
  </si>
  <si>
    <t>$300*12=3600 + 3600 יוט to 7200</t>
  </si>
  <si>
    <t>Avrumieheimowitz@gmail.com</t>
  </si>
  <si>
    <t>covered</t>
  </si>
  <si>
    <t>A. Friedman</t>
  </si>
  <si>
    <t>stop next month</t>
  </si>
  <si>
    <t>Started: Beginning Shvat</t>
  </si>
  <si>
    <t>סימן קב סעיף א-ג</t>
  </si>
  <si>
    <t>סימן קב סעיף ד</t>
  </si>
  <si>
    <t>Rav Yehuda Levenson</t>
  </si>
  <si>
    <t>אבן ישראל</t>
  </si>
  <si>
    <t>סימן קג סעיף א-ב</t>
  </si>
  <si>
    <t>סימן קד</t>
  </si>
  <si>
    <t>שמו"ת</t>
  </si>
  <si>
    <t>הל' מוקצה</t>
  </si>
  <si>
    <t>Shimmy Kahn</t>
  </si>
  <si>
    <t>N &amp; D S.</t>
  </si>
  <si>
    <t>Stern, Epraim</t>
  </si>
  <si>
    <t>Delmore</t>
  </si>
  <si>
    <t>covers himself</t>
  </si>
  <si>
    <t>Burr</t>
  </si>
  <si>
    <t>Av</t>
  </si>
  <si>
    <t>Elul</t>
  </si>
  <si>
    <t>Tishrei</t>
  </si>
  <si>
    <t>Kislev</t>
  </si>
  <si>
    <t>Printing</t>
  </si>
  <si>
    <t>Daddy</t>
  </si>
  <si>
    <t>Received</t>
  </si>
  <si>
    <t>Stern</t>
  </si>
  <si>
    <t>greenberg</t>
  </si>
  <si>
    <t>Kenen Orah</t>
  </si>
  <si>
    <t>Gavriel</t>
  </si>
  <si>
    <t>Markowitz</t>
  </si>
  <si>
    <t>Teitelbaum</t>
  </si>
  <si>
    <t>Nerberger</t>
  </si>
  <si>
    <t>Shver</t>
  </si>
  <si>
    <t>ILS 46,492.50</t>
  </si>
  <si>
    <t>-ILS 174.50</t>
  </si>
  <si>
    <t>Gave Ari</t>
  </si>
  <si>
    <t>$100</t>
  </si>
  <si>
    <t>נועם</t>
  </si>
  <si>
    <t>$6,400</t>
  </si>
  <si>
    <t>$486</t>
  </si>
  <si>
    <t>$6,986</t>
  </si>
  <si>
    <t>$6,100</t>
  </si>
  <si>
    <t>$114</t>
  </si>
  <si>
    <t>Rechnitz</t>
  </si>
  <si>
    <t>Delmore - for Reb Caplan</t>
  </si>
  <si>
    <t>From Reb Mordechai  2nd Chasnah</t>
  </si>
  <si>
    <t>Winkler, Dovid</t>
  </si>
  <si>
    <t>Gilberg</t>
  </si>
  <si>
    <t>Holts</t>
  </si>
  <si>
    <t>Zimmerman, Dovid</t>
  </si>
  <si>
    <t>another $300</t>
  </si>
  <si>
    <t>Ari Check</t>
  </si>
  <si>
    <t>Halberstam, Dovi</t>
  </si>
  <si>
    <t>Orzel, Abe</t>
  </si>
  <si>
    <t>Total gave:</t>
  </si>
  <si>
    <t>Reb Mordechai chasunah</t>
  </si>
  <si>
    <t>Reb Noach chasunah</t>
  </si>
  <si>
    <t>From MSS Bother-in-law - 1000 Shekel</t>
  </si>
  <si>
    <t>סימן קה סעיף א</t>
  </si>
  <si>
    <t>סימן קה סעיף ב</t>
  </si>
  <si>
    <t>שהייה, חזרה, הטמנה</t>
  </si>
  <si>
    <t>new printing</t>
  </si>
  <si>
    <t>received 10 months - $2,500</t>
  </si>
  <si>
    <t>סימן קה סעיף ג</t>
  </si>
  <si>
    <t>Mishnayis - beginig of Adar</t>
  </si>
  <si>
    <t>סימן קה סעיף ד</t>
  </si>
  <si>
    <t>חזרה סימן פ"ז - צ"ב</t>
  </si>
  <si>
    <t>טבילת כלים - וג</t>
  </si>
  <si>
    <t>יהושע עברך</t>
  </si>
  <si>
    <t>לא תעשון אתי</t>
  </si>
  <si>
    <t>אוח סימן רב</t>
  </si>
  <si>
    <t>חזרה סימן צג - צ"ה</t>
  </si>
  <si>
    <t>פורים שחל ערב שבת</t>
  </si>
  <si>
    <t>Duvy Caplan, through heitner</t>
  </si>
  <si>
    <t>Purim</t>
  </si>
  <si>
    <t>Heitner</t>
  </si>
  <si>
    <t>Schwimmer</t>
  </si>
  <si>
    <t>Gave to Elisha through מתניות לאביונים, from Dani</t>
  </si>
  <si>
    <t>Moore</t>
  </si>
  <si>
    <t>Weinbaum from Tratner</t>
  </si>
  <si>
    <t>Mor, Shmuel</t>
  </si>
  <si>
    <t>MSS Brother-in-law - 300 שקל.</t>
  </si>
  <si>
    <t>יוד סימן רב</t>
  </si>
  <si>
    <t xml:space="preserve">for Levenson משניות </t>
  </si>
  <si>
    <t>Heitner - I gave him, to give out for himself on purim</t>
  </si>
  <si>
    <t>Meyer Shabsi - learnt יבמות for tratner</t>
  </si>
  <si>
    <t>סימן קה סעיף ט</t>
  </si>
  <si>
    <t>Blobstein</t>
  </si>
  <si>
    <t>משה גולד</t>
  </si>
  <si>
    <t>Schreiber, Avrohom Yaacov</t>
  </si>
  <si>
    <t>Schreiber, Maier</t>
  </si>
  <si>
    <t>כסליו משניות that I gave to תלושים</t>
  </si>
  <si>
    <t>?????</t>
  </si>
  <si>
    <t>Kornfeld, Shmuel</t>
  </si>
  <si>
    <t>Gold, for kids - that I gave</t>
  </si>
  <si>
    <t>Sova for weinbaum - That I gave</t>
  </si>
  <si>
    <t>Mishnayis - beginig of Nissim</t>
  </si>
  <si>
    <t>דור המלקטים</t>
  </si>
  <si>
    <t>Borden</t>
  </si>
  <si>
    <t>Jakubowicz, Yehuda - For Reb Yitzchok</t>
  </si>
  <si>
    <t>Wolff - For Reb Yitz</t>
  </si>
  <si>
    <t>Wolf, Akiva</t>
  </si>
  <si>
    <t>Jacobowitz</t>
  </si>
  <si>
    <t>Borden, Moshe</t>
  </si>
  <si>
    <t>Stilerman, Nochum</t>
  </si>
  <si>
    <t>N Stilerman</t>
  </si>
  <si>
    <t>Yitz Goldman</t>
  </si>
  <si>
    <t>Goldman, Yitz</t>
  </si>
  <si>
    <t>Kahan, Martin</t>
  </si>
  <si>
    <t>Mishnayis - beginig of אייר</t>
  </si>
  <si>
    <t>I owe</t>
  </si>
  <si>
    <t>zeidy</t>
  </si>
  <si>
    <t>Paid editing</t>
  </si>
  <si>
    <t>SBI - Cash in אייר</t>
  </si>
  <si>
    <t>Hecker</t>
  </si>
  <si>
    <t>Mishnayis - beginig of סיון</t>
  </si>
  <si>
    <t>סימן קח סעיף א-ד</t>
  </si>
  <si>
    <t xml:space="preserve">Second time - from beginning of Adar? </t>
  </si>
  <si>
    <t>JV</t>
  </si>
  <si>
    <t>FE</t>
  </si>
  <si>
    <t>סימן שכג</t>
  </si>
  <si>
    <t>סימן צח - טעימה</t>
  </si>
  <si>
    <t>סימן קח סעיף ה-ז</t>
  </si>
  <si>
    <t>Kuhnreich, Shmuel</t>
  </si>
  <si>
    <t>Kunreich</t>
  </si>
  <si>
    <t>Gave Shloimie</t>
  </si>
  <si>
    <t>סימן קי סעיף א-ב</t>
  </si>
  <si>
    <t>בשר בקבוע - רב בלסקי</t>
  </si>
  <si>
    <t>בונה - יארמיש</t>
  </si>
  <si>
    <t>Took lose</t>
  </si>
  <si>
    <t>Need</t>
  </si>
  <si>
    <t>------------------------------------------------------------------------------------------------------------------------------</t>
  </si>
  <si>
    <t>Paid</t>
  </si>
  <si>
    <t>-----------------------------</t>
  </si>
  <si>
    <t>Left</t>
  </si>
  <si>
    <t>I should Have</t>
  </si>
  <si>
    <t>By old printer</t>
  </si>
  <si>
    <t>Ari has</t>
  </si>
  <si>
    <t>From Rabbi C for fe - 200 שקלים</t>
  </si>
  <si>
    <t>Caplan, Reb Yitzchok</t>
  </si>
  <si>
    <t>שבועות</t>
  </si>
  <si>
    <t>סימן קי סעיף ג-ו</t>
  </si>
  <si>
    <t>$70</t>
  </si>
  <si>
    <t>For גרשון - from Dov L.</t>
  </si>
  <si>
    <t>Ebert, Aizic</t>
  </si>
  <si>
    <t>סימן קי סעיף ז</t>
  </si>
  <si>
    <t>סימן צה-צז</t>
  </si>
  <si>
    <t>תוספתא + cover</t>
  </si>
  <si>
    <t>סימן קי סעיף ח-ט</t>
  </si>
  <si>
    <t>רב קפלן</t>
  </si>
  <si>
    <t>חתונה</t>
  </si>
  <si>
    <t>Sruli Markowitz</t>
  </si>
  <si>
    <t>כללי ס"ס א-י</t>
  </si>
  <si>
    <t>Stilerman, Shloimy</t>
  </si>
  <si>
    <t>Rav Boruch Kaven</t>
  </si>
  <si>
    <t>From Rabbi C for fe - 200 שקלים - Rosh Chodesh Tamus</t>
  </si>
  <si>
    <t>Reb Mordechai חתונה</t>
  </si>
  <si>
    <t>Ginzberg</t>
  </si>
  <si>
    <t>Foundation</t>
  </si>
  <si>
    <t>כללי ס"ס טז-כו</t>
  </si>
  <si>
    <t>כללי ס"ס יא-טו</t>
  </si>
  <si>
    <t>Mishnayis - from Rebbi Herskin</t>
  </si>
  <si>
    <t>כללי ס"ס כז-לו</t>
  </si>
  <si>
    <t>חורף זמן תשעח</t>
  </si>
  <si>
    <t>כללי ס"ס</t>
  </si>
  <si>
    <t>Hofman</t>
  </si>
  <si>
    <t>סימן קיא סעיף א-ד</t>
  </si>
  <si>
    <t>פרשת בלק</t>
  </si>
  <si>
    <t>חזרה</t>
  </si>
  <si>
    <t>סימן קיא סעיף ה-ז</t>
  </si>
  <si>
    <t>Yehuda Nerberger - trade off - 60 pounds</t>
  </si>
  <si>
    <t>Yehuda Nerberger - trade off - 360 pounds</t>
  </si>
  <si>
    <t>third time - starting …….</t>
  </si>
  <si>
    <t>מבחנן</t>
  </si>
  <si>
    <t>מבחנן 2</t>
  </si>
  <si>
    <t>Mishnayis - from the begining of תמוז</t>
  </si>
  <si>
    <t>Mishnayis - from the begining of אב</t>
  </si>
  <si>
    <t>Ginsberg, Ari</t>
  </si>
  <si>
    <t>for ari - begining of אב</t>
  </si>
  <si>
    <t>Rav Vidal Serfaty</t>
  </si>
  <si>
    <t>Albert, Eric</t>
  </si>
  <si>
    <t>chaim@YEHUDI.Today</t>
  </si>
  <si>
    <t>Shemesh, Avrohom</t>
  </si>
  <si>
    <t>Rubin, Zachary</t>
  </si>
  <si>
    <t>Schwab, Dov</t>
  </si>
  <si>
    <t>Rubin, Zecharia</t>
  </si>
  <si>
    <t>Bobker, Moishe</t>
  </si>
  <si>
    <t>Recant, Pinchus</t>
  </si>
  <si>
    <t>Florans, Mendel</t>
  </si>
  <si>
    <t>Lichensteinת Chaim</t>
  </si>
  <si>
    <t>Mishnayis - from the begining of אלול</t>
  </si>
  <si>
    <t>for ari - begining of אלול</t>
  </si>
  <si>
    <t>Zolty, Mitch</t>
  </si>
  <si>
    <t>Thall, Tzippy</t>
  </si>
  <si>
    <t>Zeidy - $300 for 18 months</t>
  </si>
  <si>
    <t>Rosenberg, Moredechai - through shimmy</t>
  </si>
  <si>
    <t>Rosenberg, Mordechai</t>
  </si>
  <si>
    <t>Rothenberg, Barbara</t>
  </si>
  <si>
    <t>Rothenberg, Barbara - through shimmshy</t>
  </si>
  <si>
    <t>Rav Shmuel Greenberg</t>
  </si>
  <si>
    <t>Rav Shimon Oppen</t>
  </si>
  <si>
    <t>Rav Ephraim Goldman</t>
  </si>
  <si>
    <t>סימן פז א-ג</t>
  </si>
  <si>
    <t>סימן פז ג-ה</t>
  </si>
  <si>
    <t>אוח סימן רב-רד</t>
  </si>
  <si>
    <t>אהל</t>
  </si>
  <si>
    <t xml:space="preserve">From SBI - in Elul - $2,650 + 7,380₪ </t>
  </si>
  <si>
    <t>סימן פז ו-ז</t>
  </si>
  <si>
    <t>Rav Yona Grossman</t>
  </si>
  <si>
    <t>סימן פז ט-יא</t>
  </si>
  <si>
    <t>Berkowitz, Aryeh</t>
  </si>
  <si>
    <t>Newman</t>
  </si>
  <si>
    <t>Ginzberg, Aryei Zev</t>
  </si>
  <si>
    <t>סימן פ"ח</t>
  </si>
  <si>
    <t>סימן פ"ט ס"א</t>
  </si>
  <si>
    <t>Leshkowitz, Eli</t>
  </si>
  <si>
    <t>סימן פ"ט ס"ב</t>
  </si>
  <si>
    <t>Fishoff, Chaim</t>
  </si>
  <si>
    <t>Ezras Achim paid for Yom Tov - From Mishnayis (besides another $11,500)</t>
  </si>
  <si>
    <t>for ari - begining of תשרי</t>
  </si>
  <si>
    <t>Rav Avi Lieberman</t>
  </si>
  <si>
    <t>Lichenstein Chaim</t>
  </si>
  <si>
    <t>סימן פ"ט ס"ג-ד</t>
  </si>
  <si>
    <t>סימן צ</t>
  </si>
  <si>
    <t>חשון זמן תשעט</t>
  </si>
  <si>
    <t>Bobka - $25</t>
  </si>
  <si>
    <t>Schweble, Moshe</t>
  </si>
  <si>
    <t>Bobker, Moshe</t>
  </si>
  <si>
    <t>Ginzberg, Ari</t>
  </si>
  <si>
    <t>שבת סימן רעו</t>
  </si>
  <si>
    <t>Klein, Yanky</t>
  </si>
  <si>
    <t>for ari - begining of חשון</t>
  </si>
  <si>
    <t>Need to pay Reb Avrohom, from Yanky Klein</t>
  </si>
  <si>
    <t>סימן צא -א-ג</t>
  </si>
  <si>
    <t>סימן צא -ד-ו</t>
  </si>
  <si>
    <t>סימן צא -ז</t>
  </si>
  <si>
    <t>שכה</t>
  </si>
  <si>
    <t>שמב</t>
  </si>
  <si>
    <t>שז</t>
  </si>
  <si>
    <t>test</t>
  </si>
  <si>
    <t>צב סעיף א-ב</t>
  </si>
  <si>
    <t>Belsky, Alisa</t>
  </si>
  <si>
    <t>צב סעיף ג-ד</t>
  </si>
  <si>
    <t>Weinberger</t>
  </si>
  <si>
    <t>for ari - begining of כסליו</t>
  </si>
  <si>
    <t>Mishnayis - from the begining of תשרי</t>
  </si>
  <si>
    <t>Mishnayis - from the begining of חשון</t>
  </si>
  <si>
    <t>Mishnayis - from the begining of כסליו</t>
  </si>
  <si>
    <t>Rav Avrumi Heimowitz</t>
  </si>
  <si>
    <t>Weinberger, Asher</t>
  </si>
  <si>
    <t>צב סעיף ה-ז</t>
  </si>
  <si>
    <t>צב סעיף ח-ט</t>
  </si>
  <si>
    <t>אוח ריב</t>
  </si>
  <si>
    <t>Donors Fund of Lakewood</t>
  </si>
  <si>
    <t>מזוזה</t>
  </si>
  <si>
    <t>מבחן - צא-צב</t>
  </si>
  <si>
    <t>Mishnayis - from the begining of טבת</t>
  </si>
  <si>
    <t>Feigenbaum, Chesky</t>
  </si>
  <si>
    <t>For Friend, From Feigenbaum - Check</t>
  </si>
  <si>
    <t>יו"ד קע"ח</t>
  </si>
  <si>
    <t>יו"ד קפ"א</t>
  </si>
  <si>
    <t>יו"ד ק"פ</t>
  </si>
  <si>
    <t>יו"ד קע"ט</t>
  </si>
  <si>
    <t>Einstein, Andrew</t>
  </si>
  <si>
    <t>Piontnica, Aliza</t>
  </si>
  <si>
    <t>Stern, Avromi</t>
  </si>
  <si>
    <t>יהושע Shick  - $36</t>
  </si>
  <si>
    <t>יוד קו</t>
  </si>
  <si>
    <t>יוד קז</t>
  </si>
  <si>
    <t>15 months</t>
  </si>
  <si>
    <t>Elul 2017 - End 2018</t>
  </si>
  <si>
    <t>Cash Sh.</t>
  </si>
  <si>
    <t>Total: Till end of Dec 2018</t>
  </si>
  <si>
    <t>Schick</t>
  </si>
  <si>
    <t>Meyer, Moshe</t>
  </si>
  <si>
    <t>יששכר בן נתן</t>
  </si>
  <si>
    <t>שמחה משה בן אברהם יוסף</t>
  </si>
  <si>
    <t>סימן צג</t>
  </si>
  <si>
    <t>פת הבא בכסנין</t>
  </si>
  <si>
    <t>Mayer, Avi</t>
  </si>
  <si>
    <t>Lebovics, Shloimy</t>
  </si>
  <si>
    <t>Markowitz, Sruli</t>
  </si>
  <si>
    <t>Shloimy Lebovics</t>
  </si>
  <si>
    <t>סימן צה סעיף א-ב</t>
  </si>
  <si>
    <t>סימן צה סעיף ג</t>
  </si>
  <si>
    <t>סימן צה סעיף ד-ז</t>
  </si>
  <si>
    <t>Katz, Moshe</t>
  </si>
  <si>
    <t>Grossman, Sasson</t>
  </si>
  <si>
    <t>2019: $</t>
  </si>
  <si>
    <t>2018: $</t>
  </si>
  <si>
    <t>2017: $</t>
  </si>
  <si>
    <t>Tevas תשעט</t>
  </si>
  <si>
    <t>Gold, Yehoshua</t>
  </si>
  <si>
    <t>סימן צד סעיף א-ד</t>
  </si>
  <si>
    <t>320 Sh. + 20 (Moshe Shero) - Cash from Ezras Achim</t>
  </si>
  <si>
    <t>Hoffman, Tzvi</t>
  </si>
  <si>
    <t>tzvih1111@gmail.com</t>
  </si>
  <si>
    <t>for ari - begining of טבת</t>
  </si>
  <si>
    <t>Mishnayis - from the begining of שבט</t>
  </si>
  <si>
    <t>for ari - begining of שבט</t>
  </si>
  <si>
    <t>סימן צד סעיף ה</t>
  </si>
  <si>
    <t xml:space="preserve">Meyer, Moshe </t>
  </si>
  <si>
    <t>Gross, Sasson</t>
  </si>
  <si>
    <t>Einstein - For Friend</t>
  </si>
  <si>
    <t>Joshua Rothberger - For Friend, Samon</t>
  </si>
  <si>
    <t xml:space="preserve">Rothberger, Joshua </t>
  </si>
  <si>
    <t>joshrothb@gmail.com</t>
  </si>
  <si>
    <t xml:space="preserve">Satt, Yitzchak </t>
  </si>
  <si>
    <t>Yitzysatt@gmail.com</t>
  </si>
  <si>
    <t>Greenber, Tuvia</t>
  </si>
  <si>
    <t>stop</t>
  </si>
  <si>
    <t>Levin</t>
  </si>
  <si>
    <t>Klein, Zev</t>
  </si>
  <si>
    <t>Retter, Leon</t>
  </si>
  <si>
    <t>chayatziry@gmail.com</t>
  </si>
  <si>
    <t>zevmklein@gmail.com</t>
  </si>
  <si>
    <t xml:space="preserve">Rosenzweig, Shmuel Dovid </t>
  </si>
  <si>
    <t>samkfeld@gmail.com</t>
  </si>
  <si>
    <t>סימן צד סעיף ו-ט</t>
  </si>
  <si>
    <t>Schwalb, Yitzchak</t>
  </si>
  <si>
    <t xml:space="preserve">Kornfeld, Shmuel </t>
  </si>
  <si>
    <t>Rosenzweig, Shmuel Dovid</t>
  </si>
  <si>
    <t>heitner - for Reb Eli - that went to Techyanu</t>
  </si>
  <si>
    <t>Total 2019</t>
  </si>
  <si>
    <t>Kagen</t>
  </si>
  <si>
    <t>מבחן, וחזרה דפים</t>
  </si>
  <si>
    <t>Yehuda Levitansky</t>
  </si>
  <si>
    <t>Moshe Benjamin</t>
  </si>
  <si>
    <t>Abraham Ehrenreich</t>
  </si>
  <si>
    <t>Levitansky, Yehuda</t>
  </si>
  <si>
    <t>Benjamin, Moshe</t>
  </si>
  <si>
    <t>Naomi L Aryeh</t>
  </si>
  <si>
    <t>4goldboys@gmail.com</t>
  </si>
  <si>
    <t>Schwimmer, Shlomo</t>
  </si>
  <si>
    <t>Lehrman, Shlomo</t>
  </si>
  <si>
    <t>Flom, Menachem</t>
  </si>
  <si>
    <t>shlomo2414@gmail.com</t>
  </si>
  <si>
    <t>סימן צו א-ג</t>
  </si>
  <si>
    <t>סימן צו ד-ה</t>
  </si>
  <si>
    <t>מבחנים</t>
  </si>
  <si>
    <t>חזרה - בשר בחלב</t>
  </si>
  <si>
    <t>אסתי</t>
  </si>
  <si>
    <t>סימן צז</t>
  </si>
  <si>
    <t>Bulka - 100 Shekels</t>
  </si>
  <si>
    <t>Scheter, Mendy</t>
  </si>
  <si>
    <t>Mishnayis - from the begining of Adar A</t>
  </si>
  <si>
    <t>for ari - begining of Adar</t>
  </si>
  <si>
    <t>Robert Weisz</t>
  </si>
  <si>
    <t>תערובות</t>
  </si>
  <si>
    <t>print pages</t>
  </si>
  <si>
    <t>הגעלת כלים - חוברת</t>
  </si>
  <si>
    <t>הכשר כלים</t>
  </si>
  <si>
    <t>שעון שבת - שהייה</t>
  </si>
  <si>
    <t>קכא  א-ד</t>
  </si>
  <si>
    <t>Werbin</t>
  </si>
  <si>
    <t>קכא ה-ו</t>
  </si>
  <si>
    <t>קכא - ז</t>
  </si>
  <si>
    <t>Eidelman</t>
  </si>
  <si>
    <t>צח-צט</t>
  </si>
  <si>
    <t>תנא א-ג</t>
  </si>
  <si>
    <t>תנא ג-ד</t>
  </si>
  <si>
    <t>ארי ירוחם בן דוד זלמן הלוי</t>
  </si>
  <si>
    <t>For the Rabbi - $100 + 100 Sh - Through Reb Ahron Friedman - that I kept</t>
  </si>
  <si>
    <t>Rav Meir Stilerman</t>
  </si>
  <si>
    <t>תנא ה-י</t>
  </si>
  <si>
    <t>placed by Isur Veheter</t>
  </si>
  <si>
    <t>Mishnayis - from the begining of Adar B</t>
  </si>
  <si>
    <t>Meyer, Moshe - For the past Shevat (Bamberger gets straight)</t>
  </si>
  <si>
    <t>Hoffman, Naftali</t>
  </si>
  <si>
    <t>Werbin, Yitzchok</t>
  </si>
  <si>
    <t>Werbin mishnayis, bought</t>
  </si>
  <si>
    <t>תנא י-יג</t>
  </si>
  <si>
    <t>תנא יד-יט</t>
  </si>
  <si>
    <t>Ledereich</t>
  </si>
  <si>
    <t>Issacs, Yisrael</t>
  </si>
  <si>
    <t>Paid!</t>
  </si>
  <si>
    <t>Shipping</t>
  </si>
  <si>
    <t>תנא כ-כב</t>
  </si>
  <si>
    <t>צט-קג</t>
  </si>
  <si>
    <t>Cong Beis Shalom - Berkowitz – 500</t>
  </si>
  <si>
    <t>Donor Fund - Heitner 2 – 750</t>
  </si>
  <si>
    <t>Donors fund - Heitner 1 – 1500</t>
  </si>
  <si>
    <t>Goldman – 1000</t>
  </si>
  <si>
    <t>Goldman 2 – 3500</t>
  </si>
  <si>
    <t>Gross foundation, November 23 2018 - 2500</t>
  </si>
  <si>
    <t>Gross 2, December 1 2018 – 2500</t>
  </si>
  <si>
    <t>Gross 3, Jan 1 2019 – 2500</t>
  </si>
  <si>
    <t>Gross 4, Feb 1 2019 – 2500</t>
  </si>
  <si>
    <t>Hartman – 180</t>
  </si>
  <si>
    <t>Kitov, Schuster – 2000</t>
  </si>
  <si>
    <t>kohn – 1575</t>
  </si>
  <si>
    <t>Leshkowitz – 5000</t>
  </si>
  <si>
    <t>Orlofsky, Bruce – 1000</t>
  </si>
  <si>
    <t>Orlofsky, Shelley – 1000</t>
  </si>
  <si>
    <t>Orzel - 200, 150, 150</t>
  </si>
  <si>
    <t>Rosenfeld – 500</t>
  </si>
  <si>
    <t>Rothchild - fidelity – 125</t>
  </si>
  <si>
    <t>Silverside, Saflis – 1900</t>
  </si>
  <si>
    <t>gross 5 - 2500</t>
  </si>
  <si>
    <t>klibanoff - 250</t>
  </si>
  <si>
    <t>Levenson - 100</t>
  </si>
  <si>
    <t>Orlofsky, Dovid - 1,000</t>
  </si>
  <si>
    <t>Weiser - 360</t>
  </si>
  <si>
    <t>Father</t>
  </si>
  <si>
    <t>Brother</t>
  </si>
  <si>
    <t>Schwartz</t>
  </si>
  <si>
    <t>Exact?</t>
  </si>
  <si>
    <t>משאת משה</t>
  </si>
  <si>
    <t>You said, this was with a $200 (I think) check from someone</t>
  </si>
  <si>
    <t>לכל מילי דמיטב</t>
  </si>
  <si>
    <t>טפחות</t>
  </si>
  <si>
    <t>Tennnenberg, Avi</t>
  </si>
  <si>
    <t>avit1121@gmail.com</t>
  </si>
  <si>
    <t>Orzel - 100, 100</t>
  </si>
  <si>
    <t>Ginzberg, Aryeh Zev</t>
  </si>
  <si>
    <t>Verstandig, Yaakov</t>
  </si>
  <si>
    <t>קדיש</t>
  </si>
  <si>
    <t>kohn – 500</t>
  </si>
  <si>
    <t>Kohn - 650</t>
  </si>
  <si>
    <t>jacobs - 1200</t>
  </si>
  <si>
    <t>goldman purim-pesach - 3000</t>
  </si>
  <si>
    <t>תנא כג-כז</t>
  </si>
  <si>
    <t>Grosman, Yona</t>
  </si>
  <si>
    <t>טפחות - תקבול מזה"ב - 3.11.19</t>
  </si>
  <si>
    <t>Friends of Knesset Yehuda</t>
  </si>
  <si>
    <t>Rav Shumuly Goldsmith</t>
  </si>
  <si>
    <t>Rav Simcha Katz</t>
  </si>
  <si>
    <t>Moshe Segal</t>
  </si>
  <si>
    <t>058-320-8653</t>
  </si>
  <si>
    <t>תנב</t>
  </si>
  <si>
    <t>Leshkowitz – 500</t>
  </si>
  <si>
    <t>Vad Harabonim</t>
  </si>
  <si>
    <t>Sekula</t>
  </si>
  <si>
    <t>Sternberg</t>
  </si>
  <si>
    <t>Kramer</t>
  </si>
  <si>
    <t>ברכות - בינוש גרוס</t>
  </si>
  <si>
    <t>i</t>
  </si>
  <si>
    <t>Robert Weisz - twice</t>
  </si>
  <si>
    <t>Meyer, Moshe - For the past Adar 1 (Bamberger gets straight) - he added a person to the kollel</t>
  </si>
  <si>
    <t>Hoffman, Naftali - for Purim (Mine &amp; what I bought out)</t>
  </si>
  <si>
    <t>Klein, Yanky - For Bamberger bought</t>
  </si>
  <si>
    <t>pesach</t>
  </si>
  <si>
    <t>Gold - for son, and son-in-law</t>
  </si>
  <si>
    <t>Gold - Ariel Martin</t>
  </si>
  <si>
    <t>Schwimmer - gave sekula, I bought it through Techayanu</t>
  </si>
  <si>
    <t>Erenreich - gave Sekula - I bought it through Techayanu</t>
  </si>
  <si>
    <t>Markowitz - gave Sternberg, I bought it through Techayanu</t>
  </si>
  <si>
    <t>for ari - begining of Adar 2</t>
  </si>
  <si>
    <t>for ari - begining of Nissim</t>
  </si>
  <si>
    <t>Ginzberg - gave Friend, I bought it through Techayanu</t>
  </si>
  <si>
    <t>Werbin - Rosen</t>
  </si>
  <si>
    <t>RZH - 500</t>
  </si>
  <si>
    <t>fishman-wilhelm - 280</t>
  </si>
  <si>
    <t>Verstandig, Yaakov and ….............</t>
  </si>
  <si>
    <t>Bram Greenberg</t>
  </si>
  <si>
    <t>Purim - Pesach</t>
  </si>
  <si>
    <t>Rav Yitzchok Moshe Bistritz</t>
  </si>
  <si>
    <t>Beane, Uri</t>
  </si>
  <si>
    <t>Beane, Uri - Through Shimshy</t>
  </si>
  <si>
    <t>Mandel, Aharon</t>
  </si>
  <si>
    <t>Mandel, Aharon - Through Shimshy</t>
  </si>
  <si>
    <t>Gold - 500</t>
  </si>
  <si>
    <t>Werbin - Abbo/Rosen</t>
  </si>
  <si>
    <t>Mishnayis - from the begining of Nissim</t>
  </si>
  <si>
    <t>gross 6 - 2500</t>
  </si>
  <si>
    <t>Goldsmith</t>
  </si>
  <si>
    <t>Tendler, Menachem</t>
  </si>
  <si>
    <t>For levin, that tratner gave extra for Yom Tov - that I kept, that went into levins extra $250 monthly</t>
  </si>
  <si>
    <t>Ezras Achim paid for Yom Tov - From Mishnayis (besides the monly and extra 500 shekels to each person)</t>
  </si>
  <si>
    <t>Pesach 2019</t>
  </si>
  <si>
    <t>Meyer, Moshe - For the past Adar 2 (Bamberger gets straight) - he added a person (chiune) to the kollel</t>
  </si>
  <si>
    <t>Aaron Okin 1-12</t>
  </si>
  <si>
    <t>Aaron Okin 2-12</t>
  </si>
  <si>
    <t>Okin, Aaron</t>
  </si>
  <si>
    <t>Rosenfeld – 2800</t>
  </si>
  <si>
    <t>Aaron Okin - next ten months</t>
  </si>
  <si>
    <t>Rothchild - fidelity – 150</t>
  </si>
  <si>
    <t>Joshowitz, Moshe - For Baum</t>
  </si>
  <si>
    <t>Teitelbaum, Eli - Father - for pesach</t>
  </si>
  <si>
    <t>I gave Shimmshy Kahan - they will pay back here</t>
  </si>
  <si>
    <t>April 18, 2019</t>
  </si>
  <si>
    <t>Orlofsky, Gary - 1,000</t>
  </si>
  <si>
    <t>Jacobs, Asher</t>
  </si>
  <si>
    <t>Gave to Ezras, from pesach</t>
  </si>
  <si>
    <t>gross 7 - 2500</t>
  </si>
  <si>
    <t>Bank Transfer, For Baum (from Wagshal)</t>
  </si>
  <si>
    <t>Pesach Miller</t>
  </si>
  <si>
    <t>For the Rabbi $100 - Through Reb Dovid Fishman - that I kept</t>
  </si>
  <si>
    <t>May 5, 2019</t>
  </si>
  <si>
    <t>Halbershtom</t>
  </si>
  <si>
    <t>Liberman, Avi</t>
  </si>
  <si>
    <t>Baum, Yehudah</t>
  </si>
  <si>
    <t>קיב סעי א</t>
  </si>
  <si>
    <t>קיב סעיף ב-ח</t>
  </si>
  <si>
    <t>Meyer, Moshe - For the past Nissim &amp; next Iyar (Bamberger gets straight) - he added a person (chiune) to the kollel</t>
  </si>
  <si>
    <t>נטל"פ</t>
  </si>
  <si>
    <t>טבילת כלים</t>
  </si>
  <si>
    <t>May 15, 2019</t>
  </si>
  <si>
    <t>Wertentheil - 360</t>
  </si>
  <si>
    <t>minus 1500, I gave a check (Yanky Klein)</t>
  </si>
  <si>
    <t>minus $850, I gave 2 checks ($100 Bodek, $750 though pesach miller)</t>
  </si>
  <si>
    <t>Saftlis, Uri</t>
  </si>
  <si>
    <t>minus 4,000 cash I gave you</t>
  </si>
  <si>
    <t>קיב סעיך ט-טז</t>
  </si>
  <si>
    <t>Jason Safier, for liber - that I kept</t>
  </si>
  <si>
    <t>For Friend, Chasunah - From Sruly Markowitz</t>
  </si>
  <si>
    <t>קיג סעיף א</t>
  </si>
  <si>
    <t>May 20, 2019</t>
  </si>
  <si>
    <t>Someone gave me 8.10 Shekels from a pushka</t>
  </si>
  <si>
    <t>קיג סעיף ב-ז</t>
  </si>
  <si>
    <t>קיג סעיף ח-טז</t>
  </si>
  <si>
    <t>Rav Yitzchok Feldman</t>
  </si>
  <si>
    <t>Rav Sason Gross</t>
  </si>
  <si>
    <t>Second time - 1,517</t>
  </si>
  <si>
    <t>First time - 850</t>
  </si>
  <si>
    <t>May 29, 2019</t>
  </si>
  <si>
    <t>קיד סעיף א-ג</t>
  </si>
  <si>
    <t>Second time - 3,000</t>
  </si>
  <si>
    <t>First time - 4,700</t>
  </si>
  <si>
    <t>Abbo, Yehuda</t>
  </si>
  <si>
    <t>Rosen, Shimi</t>
  </si>
  <si>
    <t>Rosen, Tzvi</t>
  </si>
  <si>
    <t>Shuman, Etta</t>
  </si>
  <si>
    <t>Shnidman - 240</t>
  </si>
  <si>
    <t>May 31, 2019</t>
  </si>
  <si>
    <t>Mishnayis - from the begining of Iyar</t>
  </si>
  <si>
    <t>Mishnayis - from the begining of Sivan (added lever)</t>
  </si>
  <si>
    <t>AD Slasnik (gave $100 from mishnayos - 50 here, 50 to baum)</t>
  </si>
  <si>
    <t>June 10, 2019</t>
  </si>
  <si>
    <t>Gold, Shmuel</t>
  </si>
  <si>
    <t>gross 8 - 2500</t>
  </si>
  <si>
    <t>קיד סעיף ד-יב</t>
  </si>
  <si>
    <t>Asher Wagshel - for Reb Avrohom [Chasunah, Monthly]</t>
  </si>
  <si>
    <t>Reb Mordechai - for Reb Avrohom [Chasunah, Monthly]</t>
  </si>
  <si>
    <t>June 11, 2019</t>
  </si>
  <si>
    <t xml:space="preserve">Ottensoser (Golob) </t>
  </si>
  <si>
    <t xml:space="preserve">Yissocher Steinharter (Golob) </t>
  </si>
  <si>
    <t xml:space="preserve">Bernie Steinharter (Golob) </t>
  </si>
  <si>
    <t xml:space="preserve">Kilberg (Golob) </t>
  </si>
  <si>
    <t xml:space="preserve">Yardley (Golob) </t>
  </si>
  <si>
    <t xml:space="preserve">Isaac Steinharter (Golob) </t>
  </si>
  <si>
    <t xml:space="preserve">Hoffman (Golob) </t>
  </si>
  <si>
    <t>Yitz Goldman - Gave $1,000 to techayeinu, I gave him 2,000 Sh. Cash - left with around 1,590 Sh (or $442), to Kupa - put it by Ezras</t>
  </si>
  <si>
    <t>Goldman</t>
  </si>
  <si>
    <t xml:space="preserve">Transferred Keren Orah </t>
  </si>
  <si>
    <t>קטו סעיף א</t>
  </si>
  <si>
    <t>Slone, Aron</t>
  </si>
  <si>
    <t>June 22, 2019</t>
  </si>
  <si>
    <t>June 24, 2019</t>
  </si>
  <si>
    <t>Fox, Moshe Dov - Gave me a check</t>
  </si>
  <si>
    <t xml:space="preserve">Slone, through Yitz Caplon ($750 for Davis, $250 for Kagen) </t>
  </si>
  <si>
    <t>קטו סעיף ב-ג</t>
  </si>
  <si>
    <t>קטז סעיף ד-ה</t>
  </si>
  <si>
    <t>קטז סעיף א-ג</t>
  </si>
  <si>
    <t>minus $1,350, I gave Cash - Jason Safier</t>
  </si>
  <si>
    <t>Tzvi Should have been 4,000, and Shimi should have been 3,500</t>
  </si>
  <si>
    <t>Stilerman, Meir</t>
  </si>
  <si>
    <t>Stilerman, Yisrael</t>
  </si>
  <si>
    <t>Stilerman, Rivka</t>
  </si>
  <si>
    <t>קטז - נדה דף יז</t>
  </si>
  <si>
    <t>Colton, Ari - Gave me a check</t>
  </si>
  <si>
    <t>June 28, 2019</t>
  </si>
  <si>
    <t>July 1, 2019</t>
  </si>
  <si>
    <t>June 26, 2019</t>
  </si>
  <si>
    <t>Panish, Stuart</t>
  </si>
  <si>
    <t>קטז סעיף ו-ז</t>
  </si>
  <si>
    <t>Sommer, Jacques</t>
  </si>
  <si>
    <t>July 6, 2019</t>
  </si>
  <si>
    <t>For the Rabbi - 200 Sh - Through Reb Ahron Friedman - that I kept</t>
  </si>
  <si>
    <t>Mishnayis - from the begining of Tamus</t>
  </si>
  <si>
    <t>breaking mirror</t>
  </si>
  <si>
    <t>סימן רח</t>
  </si>
  <si>
    <t>Hager, Dovid</t>
  </si>
  <si>
    <t>Reb Mordechai 500 Sh - for Reb Avrohom [Chasunah, Monthly]</t>
  </si>
  <si>
    <t>July 5, 2019</t>
  </si>
  <si>
    <t>Rubin, Helen</t>
  </si>
  <si>
    <t>Through Levi Mayer</t>
  </si>
  <si>
    <t>Techayeinu - gave me 12 checks of $50</t>
  </si>
  <si>
    <t>July 3, 2019</t>
  </si>
  <si>
    <t>July 7, 2019</t>
  </si>
  <si>
    <t>Weiss</t>
  </si>
  <si>
    <t>July 8, 2019</t>
  </si>
  <si>
    <t>Shafran</t>
  </si>
  <si>
    <t>Berkowitz</t>
  </si>
  <si>
    <t>Orzel</t>
  </si>
  <si>
    <t>Alvin Hess - Gave me a check</t>
  </si>
  <si>
    <t>Meir Binyomin Levine - Gave me a check</t>
  </si>
  <si>
    <t>Tepper - Gave me a check</t>
  </si>
  <si>
    <t>live in maud</t>
  </si>
  <si>
    <t>סימן קיז</t>
  </si>
  <si>
    <t>יחוד</t>
  </si>
  <si>
    <t>maid</t>
  </si>
  <si>
    <t>July 10, 2019</t>
  </si>
  <si>
    <t>Wagner</t>
  </si>
  <si>
    <t xml:space="preserve">Badrian </t>
  </si>
  <si>
    <t>Boehm</t>
  </si>
  <si>
    <t>Kaufman</t>
  </si>
  <si>
    <t>Sapirman, Menasha</t>
  </si>
  <si>
    <t>Hollond, Tzvi</t>
  </si>
  <si>
    <t>July 11, 2019</t>
  </si>
  <si>
    <t>Schreiber - Rosman</t>
  </si>
  <si>
    <t>July 12, 2019</t>
  </si>
  <si>
    <t>Wagner, Moshe</t>
  </si>
  <si>
    <t>July 14, 2019</t>
  </si>
  <si>
    <t>Kohen, Andrew</t>
  </si>
  <si>
    <t>Neumann, Penina</t>
  </si>
  <si>
    <t>Manela, Michael</t>
  </si>
  <si>
    <t>סימן קיח א-ח</t>
  </si>
  <si>
    <t>Friedman, Howard</t>
  </si>
  <si>
    <t>Zelikovitz</t>
  </si>
  <si>
    <t>Lebovits, Zechariah</t>
  </si>
  <si>
    <t>Preis, Yitzchok</t>
  </si>
  <si>
    <t>July 18, 2019</t>
  </si>
  <si>
    <t>Strauss</t>
  </si>
  <si>
    <t>Rayman</t>
  </si>
  <si>
    <t>Munk</t>
  </si>
  <si>
    <t>Schlussel</t>
  </si>
  <si>
    <t>Kopciel</t>
  </si>
  <si>
    <t>Levitansky</t>
  </si>
  <si>
    <t>Simins - Gave me a check</t>
  </si>
  <si>
    <t>Schreiber</t>
  </si>
  <si>
    <t>Deitch, Chaim</t>
  </si>
  <si>
    <t>Meyer, Levi</t>
  </si>
  <si>
    <t>Cong Ohr Torah - Monsey</t>
  </si>
  <si>
    <t>July 19, 2019</t>
  </si>
  <si>
    <t>Brach, Abraham</t>
  </si>
  <si>
    <t>Pressman, Aaron</t>
  </si>
  <si>
    <t>600 Sh - Ari Ginsberg received from sister-in-law</t>
  </si>
  <si>
    <t>July 25, 2019</t>
  </si>
  <si>
    <t>Cong Chazu Bonai</t>
  </si>
  <si>
    <t>Lowenthal</t>
  </si>
  <si>
    <t>Checkanow</t>
  </si>
  <si>
    <t>Aberbach, Elliott - Gave me a check</t>
  </si>
  <si>
    <t>Simins, Robert - Gave me a check</t>
  </si>
  <si>
    <t>ICM</t>
  </si>
  <si>
    <t>Sent receipt - Asher</t>
  </si>
  <si>
    <t>email &amp; sent receipt - Asher</t>
  </si>
  <si>
    <t>סימן קיח י-יג</t>
  </si>
  <si>
    <t>July 31, 2019</t>
  </si>
  <si>
    <t>סימן קיט א-ו</t>
  </si>
  <si>
    <t>אסתי ירמיש</t>
  </si>
  <si>
    <t>August 1, 2019</t>
  </si>
  <si>
    <t>Juravel, Pinchas</t>
  </si>
  <si>
    <t>Schnall, Avigdor</t>
  </si>
  <si>
    <t>Kaufman, Michael</t>
  </si>
  <si>
    <t>Zlotowitz, Ira</t>
  </si>
  <si>
    <t>Rokowsky, Mark</t>
  </si>
  <si>
    <t>Rajchenbach</t>
  </si>
  <si>
    <t>Mishnayis - from the begining of Av (took off Rav Mordechai)</t>
  </si>
  <si>
    <t xml:space="preserve"> Owe Elisha</t>
  </si>
  <si>
    <t>Checkanow, Ester</t>
  </si>
  <si>
    <t>Staum, Yosifa</t>
  </si>
  <si>
    <t>Leibowitz, Sara</t>
  </si>
  <si>
    <t>Saftlas, Herman</t>
  </si>
  <si>
    <t>Fishkind, Renee</t>
  </si>
  <si>
    <t>2 checks</t>
  </si>
  <si>
    <t>12 checks</t>
  </si>
  <si>
    <t>August 4, 2019</t>
  </si>
  <si>
    <t>Zuckman, Carol - Gave me a check</t>
  </si>
  <si>
    <t>Alpetora</t>
  </si>
  <si>
    <t>צבי ירמיש</t>
  </si>
  <si>
    <t>סימן קיט ז-יג</t>
  </si>
  <si>
    <t>August 7, 2019</t>
  </si>
  <si>
    <t>Gross</t>
  </si>
  <si>
    <t>סימן קיט יד-כ</t>
  </si>
  <si>
    <t>Haber/Fine</t>
  </si>
  <si>
    <t>August 8, 2019</t>
  </si>
  <si>
    <t>Ort, Denise</t>
  </si>
  <si>
    <t>3 checks</t>
  </si>
  <si>
    <t>22 checks total</t>
  </si>
  <si>
    <t>Yanky - For Bamberger</t>
  </si>
  <si>
    <t>Moshe Josowitz pushka - $5 +25:20 Shekels</t>
  </si>
  <si>
    <t>August 12, 2019</t>
  </si>
  <si>
    <t>Jakubovic, Samuel</t>
  </si>
  <si>
    <t>Gibber, S</t>
  </si>
  <si>
    <t>Silverside, Saflis - 1750</t>
  </si>
  <si>
    <t>Flom, Menachem - 516 Shekels, to my bank account</t>
  </si>
  <si>
    <t>Rosenbaum, Yehuda</t>
  </si>
  <si>
    <t>August 13, 2019</t>
  </si>
  <si>
    <t>August 30, 2019</t>
  </si>
  <si>
    <t>Blank - Golob 1</t>
  </si>
  <si>
    <t>Fayazi - Golob 1</t>
  </si>
  <si>
    <t>Weisblum - Golob 1</t>
  </si>
  <si>
    <t>Lichtig - Golob 1</t>
  </si>
  <si>
    <t>Geisler - Golob 1</t>
  </si>
  <si>
    <t>Michael Rosenzweig - Golob 1</t>
  </si>
  <si>
    <t>Aviva Rosenzweig - Golob 1</t>
  </si>
  <si>
    <t>Lefkowiz - Golob 1</t>
  </si>
  <si>
    <t>Culang - Golob 1</t>
  </si>
  <si>
    <t>Granick - Golob 1</t>
  </si>
  <si>
    <t>Michael Rosenzweig (2nd time) - Golob 1</t>
  </si>
  <si>
    <t>Ester - Golob 2 - Shredded</t>
  </si>
  <si>
    <t>Finalytics - Golob 2</t>
  </si>
  <si>
    <t>Falik - Golob 2</t>
  </si>
  <si>
    <t>Akiva Gonter - Golob 3</t>
  </si>
  <si>
    <t>Avrohom Scherman - Golob 3</t>
  </si>
  <si>
    <t>Leah Bistricer - Golob 3</t>
  </si>
  <si>
    <t>Chaim Paskesz - Golob 3</t>
  </si>
  <si>
    <t>Paskesz - Golob 3</t>
  </si>
  <si>
    <t>Reizel Gruss - Golob 3</t>
  </si>
  <si>
    <t>Marc Ward - Golob 3</t>
  </si>
  <si>
    <t>A. and D. Lefkowitz - Golob 3</t>
  </si>
  <si>
    <t>Gibber - Golob 3</t>
  </si>
  <si>
    <t>Koplowitz - Golob 3</t>
  </si>
  <si>
    <t>Donor Fund - Golob 3</t>
  </si>
  <si>
    <t>Rav Menachem Hochberger</t>
  </si>
  <si>
    <t>אורי ספליס</t>
  </si>
  <si>
    <t>לפני חבורה</t>
  </si>
  <si>
    <t>Friend/Levine - Gave cash</t>
  </si>
  <si>
    <t>טבילת כלים א</t>
  </si>
  <si>
    <t>טבילת כלים 2</t>
  </si>
  <si>
    <t>Beis Chaim Dovid East</t>
  </si>
  <si>
    <t>September 4, 2019</t>
  </si>
  <si>
    <t xml:space="preserve">cash_1 - Weinberger - Ilana Sternberg </t>
  </si>
  <si>
    <t>Joel.lifshitz@gmail.com</t>
  </si>
  <si>
    <t>טבילת כלים 3</t>
  </si>
  <si>
    <t>Gilbert</t>
  </si>
  <si>
    <t>אליעזר שרייבר</t>
  </si>
  <si>
    <t>טבילת כלים 4</t>
  </si>
  <si>
    <t>September 11, 2019</t>
  </si>
  <si>
    <t>Weiss, Barry</t>
  </si>
  <si>
    <t>September 13, 2019</t>
  </si>
  <si>
    <t>Ginzberg / Goldsmith</t>
  </si>
  <si>
    <t>נטל"פ 1</t>
  </si>
  <si>
    <t>Yiz Caplan - 1) $250 Lifshits. 2) 250 Ari Berkowitz 3) 500 Klein 4) 500 Rubin 5) Landau 1000</t>
  </si>
  <si>
    <t>September 16, 2019</t>
  </si>
  <si>
    <t>Levenson, Yehuda</t>
  </si>
  <si>
    <t>נטל"פ 2</t>
  </si>
  <si>
    <t>FB 2012 Holdings II - Shimon Brecher</t>
  </si>
  <si>
    <t>Health Alliance Services - Heinemann - 500</t>
  </si>
  <si>
    <t>GOP Holdings - Jeremias - 500</t>
  </si>
  <si>
    <t>אליעזר שרייבר 2</t>
  </si>
  <si>
    <t>September 19, 2019</t>
  </si>
  <si>
    <t>No name - Saftlas</t>
  </si>
  <si>
    <t>Richnon Realty Corp - Hellman, Moishe</t>
  </si>
  <si>
    <t>Success Therapy LLC - Ziskind</t>
  </si>
  <si>
    <t>Dovi Kohn</t>
  </si>
  <si>
    <t>September 22, 2019</t>
  </si>
  <si>
    <t>Mark Majeski</t>
  </si>
  <si>
    <t>Reisman</t>
  </si>
  <si>
    <t>Glassman</t>
  </si>
  <si>
    <t>Pollak</t>
  </si>
  <si>
    <t>Panish</t>
  </si>
  <si>
    <t>Solomon</t>
  </si>
  <si>
    <t>Zeiger</t>
  </si>
  <si>
    <t>חזרה דפים</t>
  </si>
  <si>
    <t>נטל"פ 3</t>
  </si>
  <si>
    <t>September 24, 2019</t>
  </si>
  <si>
    <t>Sent receipt</t>
  </si>
  <si>
    <t>Mishnayis - from the begining of Elul (took off Rav Ilan)</t>
  </si>
  <si>
    <t>Aahron Somons to Ilan - Beginning of Tishrei</t>
  </si>
  <si>
    <t>Rav Avrhom Lever</t>
  </si>
  <si>
    <t>September 26, 2019</t>
  </si>
  <si>
    <t>Meyer - Schwab Grant</t>
  </si>
  <si>
    <t>Ita Weinberger - 0f $500 - Half for Wedding</t>
  </si>
  <si>
    <t>Langer</t>
  </si>
  <si>
    <t>September 29, 2019</t>
  </si>
  <si>
    <t>Goldbrenner</t>
  </si>
  <si>
    <t>October 2, 2019</t>
  </si>
  <si>
    <t>Rav Mordechai Ross</t>
  </si>
  <si>
    <t>Schuster, Gavriel</t>
  </si>
  <si>
    <t>Cyperstein, Rudi</t>
  </si>
  <si>
    <t>DEUTSCH, Shimon</t>
  </si>
  <si>
    <t>Succas 2019</t>
  </si>
  <si>
    <t>October 6, 2019</t>
  </si>
  <si>
    <t>Gross - October</t>
  </si>
  <si>
    <t>Ezras to my accounts</t>
  </si>
  <si>
    <t>Caplan, Yitzchok</t>
  </si>
  <si>
    <t>October 8, 2019</t>
  </si>
  <si>
    <t>R and S Family Foundation</t>
  </si>
  <si>
    <t>Saflis</t>
  </si>
  <si>
    <t>Meyer, Moshe - For Bamberger, Sucas</t>
  </si>
  <si>
    <t>Nathaniel Odzer - receipt, $1,000 - from me - for Baum (משאת משה)</t>
  </si>
  <si>
    <t>Odzer, Nathaniel</t>
  </si>
  <si>
    <t>Dyckman, Jacob</t>
  </si>
  <si>
    <t>Kaner, Michael</t>
  </si>
  <si>
    <t>Rothman</t>
  </si>
  <si>
    <t>Sirka</t>
  </si>
  <si>
    <t>Mishnayis - from the begining of Tishrei (took off Rav Gold)</t>
  </si>
  <si>
    <t>me</t>
  </si>
  <si>
    <t>Ilan (for Simons) - past Tishrei</t>
  </si>
  <si>
    <t>($4,800*3.44)</t>
  </si>
  <si>
    <t>October 31, 2019</t>
  </si>
  <si>
    <t>Edell - Saflis</t>
  </si>
  <si>
    <t>Dombroff - Friend</t>
  </si>
  <si>
    <t>Signature Properties Group - Golub</t>
  </si>
  <si>
    <t>Paskesz Charles - Golub</t>
  </si>
  <si>
    <t>Cohen Issac - Golub</t>
  </si>
  <si>
    <t>Menasha, Daniel - Golub</t>
  </si>
  <si>
    <t>Bernath, Jacob - Golub</t>
  </si>
  <si>
    <t>Deutsch, Shimon</t>
  </si>
  <si>
    <t>Cyperstein, Rudi - For Rac Caplan</t>
  </si>
  <si>
    <t>Sucas</t>
  </si>
  <si>
    <t>Meyer, Moshe - For the past past Av (Bamberger gets straight)</t>
  </si>
  <si>
    <t>Meyer, Moshe - For the past Elul (Bamberger gets straight)</t>
  </si>
  <si>
    <t>Meyer, Moshe - For the past Sivan (Bamberger gets straight)</t>
  </si>
  <si>
    <t>Meyer, Moshe - For the past Tasmus (Bamberger gets straight) - Sivan soon</t>
  </si>
  <si>
    <t>From Sucas Yom Tov - on Chessed Sheet</t>
  </si>
  <si>
    <t>זכר לחורבן</t>
  </si>
  <si>
    <t>פ"ט-צד</t>
  </si>
  <si>
    <t>Gross - November</t>
  </si>
  <si>
    <t>November 7, 2019</t>
  </si>
  <si>
    <t>Bruckstein</t>
  </si>
  <si>
    <t>Martin - Beis Ariel</t>
  </si>
  <si>
    <t>November 10, 2019</t>
  </si>
  <si>
    <t>Willig Mishnayos</t>
  </si>
  <si>
    <t>צד-צז</t>
  </si>
  <si>
    <t>Rav Yoel Dov Gobioff</t>
  </si>
  <si>
    <t>סכנה</t>
  </si>
  <si>
    <t>או"ה</t>
  </si>
  <si>
    <t>Gold - $100 to Son, for past Elul</t>
  </si>
  <si>
    <t>Gold - $100 to Son, for past Tisrei</t>
  </si>
  <si>
    <t>קי"ב-קכב</t>
  </si>
  <si>
    <t>from me</t>
  </si>
  <si>
    <t>November 17, 2019</t>
  </si>
  <si>
    <t>Beis Ariel - Jeff Moskowitz</t>
  </si>
  <si>
    <t>Moskowitz, Jeff</t>
  </si>
  <si>
    <t>אורי ספליס - שוע</t>
  </si>
  <si>
    <t>אורי ספליס - טור</t>
  </si>
  <si>
    <t>Mishnayis - from the begining of Kislev</t>
  </si>
  <si>
    <t>Ilan (for Simons) - past Cheshvan</t>
  </si>
  <si>
    <t>December 4, 2019</t>
  </si>
  <si>
    <t>Einstein - For Bamberger, Yarchei Kalah</t>
  </si>
  <si>
    <t>receipt - from me - for Gordon</t>
  </si>
  <si>
    <t>Gordon</t>
  </si>
  <si>
    <t>Gold - $100 to Son, for past Cheshvan</t>
  </si>
  <si>
    <t>קיב-קיח</t>
  </si>
  <si>
    <t>משה שרו</t>
  </si>
  <si>
    <t>אליעזר</t>
  </si>
  <si>
    <t>סמיכה</t>
  </si>
  <si>
    <t>Beker</t>
  </si>
  <si>
    <t>Letuce</t>
  </si>
  <si>
    <t>Silverware</t>
  </si>
  <si>
    <t>Mushroom</t>
  </si>
  <si>
    <t>Nevatim</t>
  </si>
  <si>
    <t>Sefardy</t>
  </si>
  <si>
    <t>Reichman</t>
  </si>
  <si>
    <t>Gabioff</t>
  </si>
  <si>
    <t>Martin</t>
  </si>
  <si>
    <t>Feldman</t>
  </si>
  <si>
    <t>Nitsky</t>
  </si>
  <si>
    <t>Levine</t>
  </si>
  <si>
    <t>Satt</t>
  </si>
  <si>
    <t>Rosenfeld</t>
  </si>
  <si>
    <t>Doner</t>
  </si>
  <si>
    <t>Flom</t>
  </si>
  <si>
    <t>Blaustein</t>
  </si>
  <si>
    <t>Teper</t>
  </si>
  <si>
    <t>Friedler</t>
  </si>
  <si>
    <t>Medlif</t>
  </si>
  <si>
    <t>Wagshal</t>
  </si>
  <si>
    <t>Freicter</t>
  </si>
  <si>
    <t>Zeidy</t>
  </si>
  <si>
    <t>Cost</t>
  </si>
  <si>
    <t>Hall</t>
  </si>
  <si>
    <t>Yolies</t>
  </si>
  <si>
    <t>1 Appetizer, 2 types of chicking and 2 side dishes</t>
  </si>
  <si>
    <t>Video</t>
  </si>
  <si>
    <t>Drinks</t>
  </si>
  <si>
    <t>Total:</t>
  </si>
  <si>
    <t>Salads +</t>
  </si>
  <si>
    <t>bowl</t>
  </si>
  <si>
    <t>pepers</t>
  </si>
  <si>
    <t>croutans</t>
  </si>
  <si>
    <t>craisons</t>
  </si>
  <si>
    <t>mustant</t>
  </si>
  <si>
    <t>Tugentant</t>
  </si>
  <si>
    <t>Soufle</t>
  </si>
  <si>
    <t>grossman</t>
  </si>
  <si>
    <t>Rolls</t>
  </si>
  <si>
    <t>Smicha</t>
  </si>
  <si>
    <t>S. Greenberg</t>
  </si>
  <si>
    <t>חד פעמי +</t>
  </si>
  <si>
    <t>City car</t>
  </si>
  <si>
    <t>receipt - from me - for Erenreich</t>
  </si>
  <si>
    <t>Gross - Halbershtom</t>
  </si>
  <si>
    <t>Rimmer</t>
  </si>
  <si>
    <t>Pre order</t>
  </si>
  <si>
    <t>TOTAL</t>
  </si>
  <si>
    <t>December 18, 2019</t>
  </si>
  <si>
    <t>Pictures</t>
  </si>
  <si>
    <t>13months*$200 - that comes out of my fathers $1,000 monthly (than we rembered at the end of the year)</t>
  </si>
  <si>
    <t>Weinbaum</t>
  </si>
  <si>
    <t>December 19, 2019</t>
  </si>
  <si>
    <t>Gross - December</t>
  </si>
  <si>
    <t>קכ-קכב</t>
  </si>
  <si>
    <t>The R &amp; S Family Foundation</t>
  </si>
  <si>
    <t>December 24, 2019</t>
  </si>
  <si>
    <t>December 23, 2019</t>
  </si>
  <si>
    <t>Simins, Robert</t>
  </si>
  <si>
    <t>Bulka - 50 Shekels</t>
  </si>
  <si>
    <t>Mishnayis - from the begining of Teves</t>
  </si>
  <si>
    <t>Glass, Yossef</t>
  </si>
  <si>
    <t>Ilan (for Simons) - past Kislev</t>
  </si>
  <si>
    <t>From my Masser</t>
  </si>
  <si>
    <t>קפד ח-יא</t>
  </si>
  <si>
    <t>December 30, 2019</t>
  </si>
  <si>
    <t>Bruck</t>
  </si>
  <si>
    <t>Ita Weinberger - $1,000 - to pay back gemach loan</t>
  </si>
  <si>
    <t>Silverman</t>
  </si>
  <si>
    <t>pz-py</t>
  </si>
  <si>
    <t>January 3, 2020</t>
  </si>
  <si>
    <t>Rav Yehoshua Schick</t>
  </si>
  <si>
    <t>Rav Moshe Harbater</t>
  </si>
  <si>
    <t>January 6, 2020</t>
  </si>
  <si>
    <t>Gross - Jan</t>
  </si>
  <si>
    <t>פורים</t>
  </si>
  <si>
    <t>Meir - 172 Shekels, Masser (from stroller)</t>
  </si>
  <si>
    <t>January 7, 2020</t>
  </si>
  <si>
    <t>Mishnayis - from the begining of Shevat</t>
  </si>
  <si>
    <t>אבי - או"ה חזרה</t>
  </si>
  <si>
    <t>ארי חזרה</t>
  </si>
  <si>
    <t>Sruly Brown - 50 Shekels</t>
  </si>
  <si>
    <t>Gold - $100 to Son, for past Kislev</t>
  </si>
  <si>
    <t>2020: $</t>
  </si>
  <si>
    <t>Brown, Shlom Tzvi</t>
  </si>
  <si>
    <t>Beis Ariel - Brown, Shlom Tzvi</t>
  </si>
  <si>
    <t>January 17, 2020</t>
  </si>
  <si>
    <t>Weinberger 2</t>
  </si>
  <si>
    <t>אונס - כשרות</t>
  </si>
  <si>
    <t>January 23, 2020</t>
  </si>
  <si>
    <t>Silverside ventures</t>
  </si>
  <si>
    <t>Rav Netanel Shachar</t>
  </si>
  <si>
    <t>Rav Tuvia Greenberg</t>
  </si>
  <si>
    <t>Rav Yakov Kaufman</t>
  </si>
  <si>
    <t>Rav Tzvi Martin</t>
  </si>
  <si>
    <t>Rav Dovid Loeb</t>
  </si>
  <si>
    <t>Rav Avrahom Fonfa</t>
  </si>
  <si>
    <t>Rav Ari Friedler</t>
  </si>
  <si>
    <t>Weinberger 3</t>
  </si>
  <si>
    <t>January 27, 2020</t>
  </si>
  <si>
    <t>Through werbin - to Rosen</t>
  </si>
  <si>
    <t>Maaser 1 (Rosh Chodesh Shevat) - For Reb Yossi</t>
  </si>
  <si>
    <t>year 2020</t>
  </si>
  <si>
    <t>January 30, 2020</t>
  </si>
  <si>
    <t>Ilan (for Simons) - past Tevas</t>
  </si>
  <si>
    <t>Feburary 2, 2020</t>
  </si>
  <si>
    <t>BYA - impressions</t>
  </si>
  <si>
    <t>M Taitelbaum</t>
  </si>
  <si>
    <t>Feburary 5, 2020</t>
  </si>
  <si>
    <t>Feburary 8, 2020</t>
  </si>
  <si>
    <t>Brodie investment group</t>
  </si>
  <si>
    <t>Aron Pfeffer</t>
  </si>
  <si>
    <t>Feburary 9, 2020</t>
  </si>
  <si>
    <t>Feburary 10, 2020</t>
  </si>
  <si>
    <t>Weinberger 4</t>
  </si>
  <si>
    <t>Seigfried</t>
  </si>
  <si>
    <t>Feburary 11, 2020</t>
  </si>
  <si>
    <t>Hamada, Elliot</t>
  </si>
  <si>
    <t>Feburary 12, 2020</t>
  </si>
  <si>
    <t>Gold - $100 to Son, for past Tevas</t>
  </si>
  <si>
    <t>לשון הרע</t>
  </si>
  <si>
    <t>Bilus, Esther Tzipa</t>
  </si>
  <si>
    <t>Chelsea management - Yitz Moller</t>
  </si>
  <si>
    <t>Willig (Carey Gruenbaum)</t>
  </si>
  <si>
    <t>Yitzchak Goldsmith</t>
  </si>
  <si>
    <t>Feburary 18, 2020</t>
  </si>
  <si>
    <t>Gross - Feb</t>
  </si>
  <si>
    <t>Nathan Stern fund</t>
  </si>
  <si>
    <t>Feburary 19, 2020</t>
  </si>
  <si>
    <t>Dombroff, Daniel</t>
  </si>
  <si>
    <t>Greenwald Kollel</t>
  </si>
  <si>
    <t>Moshe Lieberman</t>
  </si>
  <si>
    <t>Avrhom Halpern</t>
  </si>
  <si>
    <t>Paul Pesach Klibanow</t>
  </si>
  <si>
    <t>Rabbi Wagshal</t>
  </si>
  <si>
    <t>Yehoshua Moaonata</t>
  </si>
  <si>
    <t>Simon Schwab</t>
  </si>
  <si>
    <t>Orlofsky, Mitch or Sharon – 1000</t>
  </si>
  <si>
    <t>David Frank</t>
  </si>
  <si>
    <t>Avraham Rogoff</t>
  </si>
  <si>
    <t>Barry Schreiber</t>
  </si>
  <si>
    <t>Schoemann Wedding</t>
  </si>
  <si>
    <t>Leshkowitz - 1,000, 1,800</t>
  </si>
  <si>
    <t>Orzel – 500 - My Mistake</t>
  </si>
  <si>
    <t>6 checks - Friend (Hochberg)</t>
  </si>
  <si>
    <t>6 checks - Friend (Berger)</t>
  </si>
  <si>
    <t>6 checks - Friend (Oppen)</t>
  </si>
  <si>
    <t>6 checks - Friend (Steinharter)</t>
  </si>
  <si>
    <t>6 checks - Friend (Kriger)</t>
  </si>
  <si>
    <t>Ehrenfeld, Yaakov - Donor Fund</t>
  </si>
  <si>
    <t>Fox, Moshe Dov (Sharon) - Gave me a check</t>
  </si>
  <si>
    <t>Halpert, Marsha</t>
  </si>
  <si>
    <t>Chanina N. D. $ Tammy Reischer - Golob 3</t>
  </si>
  <si>
    <t>Weiss, Barry - Chinuch Chareidi of Calif.</t>
  </si>
  <si>
    <t>Feigenbaums Dates</t>
  </si>
  <si>
    <t>Name</t>
  </si>
  <si>
    <t>Amount</t>
  </si>
  <si>
    <t>For</t>
  </si>
  <si>
    <t>Missing $1,000</t>
  </si>
  <si>
    <t>Missing $150</t>
  </si>
  <si>
    <t>Missing $500</t>
  </si>
  <si>
    <t>My Mistake</t>
  </si>
  <si>
    <t>Missing $2,266</t>
  </si>
  <si>
    <t>Meir Binyomin Levine (12 checks * 50)</t>
  </si>
  <si>
    <t>Missing $300</t>
  </si>
  <si>
    <t>Missing $18 ??</t>
  </si>
  <si>
    <t>Maaser 2 (Rosh Chodesh Adar) - For Reb Yossi</t>
  </si>
  <si>
    <t>Mishnayis - from the begining of Cheshvan - (put on bamberger, from Meyers)</t>
  </si>
  <si>
    <t>Reichman, Aryeh</t>
  </si>
  <si>
    <t>Feldman, Yitz</t>
  </si>
  <si>
    <t>Fruchter, Shmuel</t>
  </si>
  <si>
    <t>Schick, Yehoshua</t>
  </si>
  <si>
    <t>---------------</t>
  </si>
  <si>
    <t>Taken Care Of</t>
  </si>
  <si>
    <t>Cashed!!</t>
  </si>
  <si>
    <t>Donor's fund in Lakewood - two $50 receipts</t>
  </si>
  <si>
    <t>Rosedale</t>
  </si>
  <si>
    <t>Feburary 21, 2020</t>
  </si>
  <si>
    <t>Levin, Yehoshua</t>
  </si>
  <si>
    <t>Beis Yaakov Academy</t>
  </si>
  <si>
    <t>Feburary 22, 2020</t>
  </si>
  <si>
    <t>Kriger (Golob) - ?? - 10/22/19 - $200</t>
  </si>
  <si>
    <t>Schecter, Zev</t>
  </si>
  <si>
    <t>Charis Emley charitable trust - Ginzberg</t>
  </si>
  <si>
    <t>Feburary 23, 2020</t>
  </si>
  <si>
    <t>Heinemann</t>
  </si>
  <si>
    <t>RZH Foundation - Ralph Hertka</t>
  </si>
  <si>
    <t>Gold - $100 to Son, for past Shevat</t>
  </si>
  <si>
    <t>Ilan (for Simons) - past Shevat</t>
  </si>
  <si>
    <t>Mishnayos - from the begining of Adar</t>
  </si>
  <si>
    <t>Feburary 25, 2020</t>
  </si>
  <si>
    <t>Weinberger 5</t>
  </si>
  <si>
    <t>Missing from here on</t>
  </si>
  <si>
    <t>success therapy, ziskind - 100</t>
  </si>
  <si>
    <t>Feburary 26, 2020</t>
  </si>
  <si>
    <t>March 1, 2020</t>
  </si>
  <si>
    <t>donor fund, Markowitz - 1800</t>
  </si>
  <si>
    <t>Joseph &amp; Hadassah Leiberman - 180</t>
  </si>
  <si>
    <t>Einstein, Andrew - matanos leevyonim +</t>
  </si>
  <si>
    <t>Blobstein, Yanky - pesach</t>
  </si>
  <si>
    <t>Bram Greenberg - מתניות לאביונים</t>
  </si>
  <si>
    <t>Hoffman, Tooly - מתניות לאביונים</t>
  </si>
  <si>
    <t>Brian kohn_1 - 1600</t>
  </si>
  <si>
    <t>March 5, 2020</t>
  </si>
  <si>
    <t>Goldbrenner, Yankie</t>
  </si>
  <si>
    <t>Verstandig - purim</t>
  </si>
  <si>
    <t>Koplowitz</t>
  </si>
  <si>
    <t>March 6, 2020</t>
  </si>
  <si>
    <t>zelikovitz- donor fund_1</t>
  </si>
  <si>
    <t>DK &amp; CK management</t>
  </si>
  <si>
    <t>Yad Yosef - Haber - 500</t>
  </si>
  <si>
    <t>Charis Emley - 5000</t>
  </si>
  <si>
    <t>Silverside Ventures - 350</t>
  </si>
  <si>
    <t>March 8, 2020</t>
  </si>
  <si>
    <t>Delmoor, Nissin</t>
  </si>
  <si>
    <t>March 9, 2020</t>
  </si>
  <si>
    <t>Gross - March</t>
  </si>
  <si>
    <t>Jacob Goldbrenner - 1,000</t>
  </si>
  <si>
    <t>Goldbrenner - Equipart - 5000</t>
  </si>
  <si>
    <t>Rachel Neuman - 30</t>
  </si>
  <si>
    <t>Swartz</t>
  </si>
  <si>
    <t>Friend (14,000 from wedding, 1,000 for pesach from Ginzberg)</t>
  </si>
  <si>
    <t>March 13, 2020</t>
  </si>
  <si>
    <t>Gold Shmuel</t>
  </si>
  <si>
    <t>March 12, 2020</t>
  </si>
  <si>
    <t>Weinberger 6</t>
  </si>
  <si>
    <t>anonymous, donor fund</t>
  </si>
  <si>
    <t>סמיכה - קטץ</t>
  </si>
  <si>
    <t>Donor Fund - Yosef Friend</t>
  </si>
  <si>
    <t>Lower Watt - Yosef Friend</t>
  </si>
  <si>
    <t>Marc Berger - Yosef Friend</t>
  </si>
  <si>
    <t>Jakubovic, Samuel - Yosef Friend</t>
  </si>
  <si>
    <t>March 17, 2020</t>
  </si>
  <si>
    <t>Flam, Yehuda - Brown</t>
  </si>
  <si>
    <t>Dicker, Aaron - Brown</t>
  </si>
  <si>
    <t>Nadoff, Yackov - Brown</t>
  </si>
  <si>
    <t>Brown, Eli - Brown</t>
  </si>
  <si>
    <t>Kirzner, Shaul - Brown</t>
  </si>
  <si>
    <t>Felsinger, Elkanah - Brown</t>
  </si>
  <si>
    <t>Netzer, Michael - Friend</t>
  </si>
  <si>
    <t>Klein, Israel - Friend</t>
  </si>
  <si>
    <t>Friedman, Steven - Friend</t>
  </si>
  <si>
    <t>Beis Chaim Dovid East - Fine</t>
  </si>
  <si>
    <t>March 18, 2020</t>
  </si>
  <si>
    <t>Mishnayos - from the begining of Nissim</t>
  </si>
  <si>
    <t>Maaser 3 (Rosh Chodesh Nissim) - For Reb Yossi</t>
  </si>
  <si>
    <t>Gold - $100 to Son, for past Adar</t>
  </si>
  <si>
    <t>Ilan (for Simons) - past Adar</t>
  </si>
  <si>
    <t>heitner - for Reb Eli - that went to CAD (that I gave for Yom Tov)</t>
  </si>
  <si>
    <t>March 21, 2020</t>
  </si>
  <si>
    <t>March 22, 2020</t>
  </si>
  <si>
    <t>Donor Fund</t>
  </si>
  <si>
    <t>Orzel, Menachum</t>
  </si>
  <si>
    <t>My Masser - $250 - for Shimmshy Kahn</t>
  </si>
  <si>
    <t>My Masser - $501 - for Shimmshy Kahn</t>
  </si>
  <si>
    <t>My Masser - to Yossi - from my account</t>
  </si>
  <si>
    <t>Ariyeh Berkowitz - For Reb Yitz</t>
  </si>
  <si>
    <t>Asher Jacobs - Reb Eli</t>
  </si>
  <si>
    <t>March 23, 2020</t>
  </si>
  <si>
    <t>Tepper</t>
  </si>
  <si>
    <t>Leshkowitz - March</t>
  </si>
  <si>
    <t>large donor fund check - 574.17 (Dunner)</t>
  </si>
  <si>
    <t>Pesach 2020</t>
  </si>
  <si>
    <t>Kushner, Bottom Line Marketing - Dunner</t>
  </si>
  <si>
    <t>Landesman - Dunner</t>
  </si>
  <si>
    <t>Blank - Dunner</t>
  </si>
  <si>
    <t>MNC+SONS Contrators - Dunner</t>
  </si>
  <si>
    <t>Marceli or Rita Wolf - Dunner</t>
  </si>
  <si>
    <t>Chuny and Chavi Herzka - Dunner</t>
  </si>
  <si>
    <t>From Pesach 2020 Yom Tov - on Chessed Sheet</t>
  </si>
  <si>
    <t>March 26, 2020</t>
  </si>
  <si>
    <t>Lehman, Shlomo</t>
  </si>
  <si>
    <t>March 27, 2020</t>
  </si>
  <si>
    <t>March 28, 2020</t>
  </si>
  <si>
    <t>Wertentheil</t>
  </si>
  <si>
    <t>Delmore - purim</t>
  </si>
  <si>
    <t>Delmore - pesach</t>
  </si>
  <si>
    <t>March 31, 2020</t>
  </si>
  <si>
    <t>Wilheim (Soroka)</t>
  </si>
  <si>
    <t>Alden (Soroka)</t>
  </si>
  <si>
    <t>Laghaie (Soroka)</t>
  </si>
  <si>
    <t>Goldbrenner, twice - pesach</t>
  </si>
  <si>
    <t>April 1, 2020</t>
  </si>
  <si>
    <t>Rothchild</t>
  </si>
  <si>
    <t>Czemak, Daniel - through Halpershtom</t>
  </si>
  <si>
    <t>Eli Oelbaum</t>
  </si>
  <si>
    <t>April 5, 2020</t>
  </si>
  <si>
    <t>Feldman, Yitzchak</t>
  </si>
  <si>
    <t>Cong. Gedulas Cetral Park</t>
  </si>
  <si>
    <t>Dovi ($3,000 For Rav Avrohom Posnansky) - $1,000 for ?</t>
  </si>
  <si>
    <t>Comment</t>
  </si>
  <si>
    <t>Extra $1,000 for?</t>
  </si>
  <si>
    <t>Rav Avrohom Posnansky (through Dovi)</t>
  </si>
  <si>
    <t>Gave 1,000 Shekels - $276 from my account</t>
  </si>
  <si>
    <t> jakubowic</t>
  </si>
  <si>
    <t>Dov</t>
  </si>
  <si>
    <t>Plus - $1,000 to weinstein</t>
  </si>
  <si>
    <t>Owes the fund!</t>
  </si>
  <si>
    <t>I gave 1,000 Shekels to באר עולם</t>
  </si>
  <si>
    <t>April 7, 2020</t>
  </si>
  <si>
    <t>Mishnayos - from the begining of Iyar</t>
  </si>
  <si>
    <t>Maaser 4 (Rosh Chodesh Iyar) - For Reb Yossi</t>
  </si>
  <si>
    <t>Rav שאול קורדובה</t>
  </si>
  <si>
    <t>Rav Menachem Zaks</t>
  </si>
  <si>
    <t>Rav Menachem Flom</t>
  </si>
  <si>
    <t>Friend received cash, that I gave through Ezras Achim</t>
  </si>
  <si>
    <t xml:space="preserve">From Leskowitz (part of his may $7,000), to help cover Yehoshu Levin </t>
  </si>
  <si>
    <t>From Leskowitz (part of his may $7,000), to help cover Gershon Hecker</t>
  </si>
  <si>
    <t>May 9, 2020</t>
  </si>
  <si>
    <t>‪10,410</t>
  </si>
  <si>
    <t>Mishnayos - from the begining of Sivan</t>
  </si>
  <si>
    <t>Maaser 5 (Rosh Chodesh Sivan) - For Reb Yossi</t>
  </si>
  <si>
    <t>Zuckerman, Yizchok</t>
  </si>
  <si>
    <t>Chaim Paskesz / Golub</t>
  </si>
  <si>
    <t>P R Wolf / Golub</t>
  </si>
  <si>
    <t>Blessing for life Foundation / Golub</t>
  </si>
  <si>
    <t>Leah Bistricer / Golub</t>
  </si>
  <si>
    <t>Moshe Kilberg / Golub</t>
  </si>
  <si>
    <t>Cong. Bnei Torah / Golub</t>
  </si>
  <si>
    <t>Y and B Schreiber / Golub</t>
  </si>
  <si>
    <t>May 20, 2020</t>
  </si>
  <si>
    <t>Rav Yitzchak Schwalb</t>
  </si>
  <si>
    <t>Rav Azriel Friedman</t>
  </si>
  <si>
    <t>For the Rabbi - 150 Sh - Through Reb Ahron Friedman - that I kept</t>
  </si>
  <si>
    <t>For the Rabbi - 100 Sh - Through Reb Ahron Friedman - that I kept</t>
  </si>
  <si>
    <t>Mishnayos - from the begining of Tamus</t>
  </si>
  <si>
    <t>Maaser 6 (Rosh Chodesh Tamus) - For Reb Yossi</t>
  </si>
  <si>
    <t>Gold for Reb Ahron Friedman - June 1</t>
  </si>
  <si>
    <t>Gold - $100 to Son, for past Nissin</t>
  </si>
  <si>
    <t>Gold - $100 to Son, for past Iyar</t>
  </si>
  <si>
    <t>Avrohom Yakov Shreiber $1,300 [put in Ner Gavriel Fund] - 1,000 friend, 300 MS Shreiber</t>
  </si>
  <si>
    <t>Ilan (for Simons) - beginning June - Israeli CC - gave at the end of Sivan</t>
  </si>
  <si>
    <t>Gold for Reb Ahron Friedman - beginning Tamus</t>
  </si>
  <si>
    <t>From NGF that I gave Sukula, and I bought out schwimmer</t>
  </si>
  <si>
    <t>almost 7 months for Friend - $1,725 + 888nis</t>
  </si>
  <si>
    <t>For the Rabbi - 400 Sh - Through Reb Ahron Friedman - that I kept</t>
  </si>
  <si>
    <t>Cash that I gave Sukula, and I bought out schwimmer</t>
  </si>
  <si>
    <t>Mishnayos - from the begining of Av</t>
  </si>
  <si>
    <t>Yossi - Bulua</t>
  </si>
  <si>
    <t>$174.48 CC - July 5 2020</t>
  </si>
  <si>
    <t>Maaser 6 (Rosh Chodesh Av) - For Reb Yossi</t>
  </si>
  <si>
    <t>מאיר יהודה - אתה</t>
  </si>
  <si>
    <t>$360</t>
  </si>
  <si>
    <t>Moshe Katz</t>
  </si>
  <si>
    <t>לע"נ פריידא מלכה בת ר' יעקב זצ"ל</t>
  </si>
  <si>
    <t>Yanky Mendel</t>
  </si>
  <si>
    <t>Schwimmer (from the $1,700), for Reb Elisha - July 22</t>
  </si>
  <si>
    <t>פאה נכרית</t>
  </si>
  <si>
    <t>Ilan (for Simons) - beginning July, August - Israeli CC - gave at the end of Tamus for Tamus and Av</t>
  </si>
  <si>
    <t>Gold for Reb Ahron Friedman - beginning Av</t>
  </si>
  <si>
    <t>$100 CAD</t>
  </si>
  <si>
    <t>Halperin, Dani</t>
  </si>
  <si>
    <t>$500 CC ($485.20)</t>
  </si>
  <si>
    <t>Silverman, Tzvi</t>
  </si>
  <si>
    <t>Condition that it is printed</t>
  </si>
  <si>
    <t>Markovitz, Sruly</t>
  </si>
  <si>
    <t>$1000 CC ($970.85)</t>
  </si>
  <si>
    <t>Mishnayos - from the begining of Elul</t>
  </si>
  <si>
    <t>Maaser 7 (Rosh Chodesh Elul) - For Reb Yossi</t>
  </si>
  <si>
    <t>Rav Yehuda Steinhart</t>
  </si>
  <si>
    <t>Schwimmer (from the $1,700), for Reb Elisha - August 24</t>
  </si>
  <si>
    <t>Negaim 12-14, Parah, Taharos, Mikvaos 1-8</t>
  </si>
  <si>
    <t>Gold for Reb Ahron Friedman - beginning Elul</t>
  </si>
  <si>
    <t>Mishnayos - from the begining of Tishrei</t>
  </si>
  <si>
    <t>Gold for Reb Ahron Friedman - beginning Tishrei</t>
  </si>
  <si>
    <t>Mishnayos - from the begining of Cheshvan</t>
  </si>
  <si>
    <t>Gold for Reb Ahron Friedman - beginning Cheshvan</t>
  </si>
  <si>
    <t>Mishnayos - from the begining of Kislev</t>
  </si>
  <si>
    <t>Gold for Reb Ahron Friedman - beginning Kislev</t>
  </si>
  <si>
    <t>Bought from Baum</t>
  </si>
  <si>
    <t>$500</t>
  </si>
  <si>
    <t>לע״נ מוהר״ר יואל בן מוהר״ר חנוך העניך זצ״ל ואשתו מרת חנה בת מוהר״ר חיים יצחק אייזיק זצ״ל</t>
  </si>
  <si>
    <t>ולע״נ ר׳ אשר ישעיהו בן ר׳ אליהו זצ״ל￼ ואשתו מרת שפרה בת ר׳ יחזקאל שרגא זצ״ל</t>
  </si>
  <si>
    <t>For the Rabbi - around $14.75 (50nis) - Through Reb Dovid Fishman - that I kept</t>
  </si>
  <si>
    <t>חזרה - ירמיש</t>
  </si>
  <si>
    <t>Schwimmer (from the $1,700), for Reb Elisha - Sept 21</t>
  </si>
  <si>
    <t>Dr Andrew - that I bought, and gave out for succas</t>
  </si>
  <si>
    <t>Ilan (for Simons) - for Succas</t>
  </si>
  <si>
    <t>For the Rabbi - around $29.5 (100nis) - Yudi Tepper - that I kept</t>
  </si>
  <si>
    <t>He is ahead!!!</t>
  </si>
  <si>
    <t>For the Rabbi - around $176.5 (600nis) - Muller - that I kept</t>
  </si>
  <si>
    <t>בצלאל רוזנטל</t>
  </si>
  <si>
    <t>Rechnitz - though Yad Eliezer, that I paid</t>
  </si>
  <si>
    <t>year 2021</t>
  </si>
  <si>
    <t>Zahler, Chaim</t>
  </si>
  <si>
    <t>$360 CC ($349.26)</t>
  </si>
  <si>
    <t>No names</t>
  </si>
  <si>
    <t>yes</t>
  </si>
  <si>
    <t>$200 CC ($193.90)</t>
  </si>
  <si>
    <t>1)put ע״ה by her name</t>
  </si>
  <si>
    <t>2)add חיים to my name</t>
  </si>
  <si>
    <t>Keilim 28-30, Oholos, Negaim 1-11</t>
  </si>
  <si>
    <t>Mikvaos 9-10, Nidda, Machshirin, Zavim, Tvul Yom, Yadayim, Uktzin</t>
  </si>
  <si>
    <t>Chulin 2-12, Bechoros, Eruchin</t>
  </si>
  <si>
    <t>Rav Dr. Chaim Nitzky</t>
  </si>
  <si>
    <t>Rav Menachem Zellermaier</t>
  </si>
  <si>
    <t>זייטי</t>
  </si>
  <si>
    <t>Schwimmer (from the $1,700), for Reb Elisha - Oct 19</t>
  </si>
  <si>
    <t>Ilan (for Simons) - beginning July, August - Israeli CC - gave for Elul and Tisrei</t>
  </si>
  <si>
    <t>זייטי - ברכות</t>
  </si>
  <si>
    <t>Fonts</t>
  </si>
  <si>
    <t>Nov 3, 2020</t>
  </si>
  <si>
    <t>Shmuel goldsmith 3200, Efraim Krohn 2800, Chaim Deutsch 2800</t>
  </si>
  <si>
    <t>1)</t>
  </si>
  <si>
    <t xml:space="preserve">2) </t>
  </si>
  <si>
    <t>Rav Yaakov Schoemann</t>
  </si>
  <si>
    <t>Rav Zev Becker</t>
  </si>
  <si>
    <t>Maryles $2430, Gold $2830</t>
  </si>
  <si>
    <t>Nov 15, 2020</t>
  </si>
  <si>
    <t>Schwimmer (from the $1,700), for Reb Elisha - November 17</t>
  </si>
  <si>
    <t>Maaser 8 (Rosh Chodesh Tishrei) - For Reb Yossi</t>
  </si>
  <si>
    <t>Maaser 9 (Rosh Chodesh Cheshvan) - For Reb Yossi</t>
  </si>
  <si>
    <t>Maaser 10 (Rosh Chodesh Kislev) - For Reb Yossi</t>
  </si>
  <si>
    <t>Mishnayos - from the begining of Teves</t>
  </si>
  <si>
    <t>Maaser 11 (Rosh Chodesh Teves) - For Reb Yossi</t>
  </si>
  <si>
    <t>Gold for Reb Ahron Friedman - beginning Teves</t>
  </si>
  <si>
    <t>Nov 20, 2020</t>
  </si>
  <si>
    <t>End November</t>
  </si>
  <si>
    <t>To Baum</t>
  </si>
  <si>
    <t>Friend monlthy, from my account</t>
  </si>
  <si>
    <t>Ilan (for Simons) - beginning July, August - Israeli CC - gave for Cheshvan and Kislev</t>
  </si>
  <si>
    <t>שרייבר</t>
  </si>
  <si>
    <t>ברכות - חזרה מבחנים</t>
  </si>
  <si>
    <t>FE Stern Gave this to Ezras - in cash to me</t>
  </si>
  <si>
    <t>For the Rabbi - 300 Sh - Through Reb Ahron Friedman - that I kept</t>
  </si>
  <si>
    <t>October 7, 2019</t>
  </si>
  <si>
    <t>May 26, 2020</t>
  </si>
  <si>
    <t>ועד הרבנים</t>
  </si>
  <si>
    <t>Schwimmer (from the $1,700), for Reb Elisha - December 15</t>
  </si>
  <si>
    <t>Friend account - that Ezras Achim paid to fried account (20% of the year), instead of me</t>
  </si>
  <si>
    <t xml:space="preserve">NGF </t>
  </si>
  <si>
    <t>NGF</t>
  </si>
  <si>
    <t>Lever</t>
  </si>
  <si>
    <t>Dr Einstein - Description: Friend Family taanugim for 2021: $932 = NIS 3000</t>
  </si>
  <si>
    <t>donation</t>
  </si>
  <si>
    <t>Extra $2,000</t>
  </si>
  <si>
    <t>Dec 27, 2020</t>
  </si>
  <si>
    <t>Jordan Tepfer</t>
  </si>
  <si>
    <t>$515 CC ($499.77)</t>
  </si>
  <si>
    <t>Down payment</t>
  </si>
  <si>
    <t>Ahuvi - Halpert</t>
  </si>
  <si>
    <t>יוסף יוסבא</t>
  </si>
  <si>
    <t>To friend</t>
  </si>
  <si>
    <t>Yossi - Baum</t>
  </si>
  <si>
    <t>Jan 4, 2021</t>
  </si>
  <si>
    <t>2021: $</t>
  </si>
  <si>
    <t>ACH charge, twice</t>
  </si>
  <si>
    <t>Ezras Achim - from Silverman, I kept</t>
  </si>
  <si>
    <t>Weissberger, Yossi</t>
  </si>
  <si>
    <t>Fisher, Avromi</t>
  </si>
  <si>
    <t>Steinhardt, Yehuda</t>
  </si>
  <si>
    <t>Gabiof, Yoel Dov</t>
  </si>
  <si>
    <t>Akiva Axelbaum</t>
  </si>
  <si>
    <t>Shlomo Zevi Katz</t>
  </si>
  <si>
    <t>Eli Horowitz</t>
  </si>
  <si>
    <t>Yidi Tepfer</t>
  </si>
  <si>
    <t>shimon deutsch</t>
  </si>
  <si>
    <t>Gedaliah Rabinowitz</t>
  </si>
  <si>
    <t>Freedman, Ahron</t>
  </si>
  <si>
    <t>Metz, Eliyuhu</t>
  </si>
  <si>
    <t>Mishnayos - NGF</t>
  </si>
  <si>
    <t>סימן רי-סימן ריד - אבי מורי</t>
  </si>
  <si>
    <t>סימן קסז, קס"ח, קע"ד - אבי מורי</t>
  </si>
  <si>
    <t>טו בשבת, סימן קסז</t>
  </si>
  <si>
    <t>Jan 20, 2021</t>
  </si>
  <si>
    <t>Reb Mordechai account - for Friend</t>
  </si>
  <si>
    <t>Mishnayos - from the begining of Shvat</t>
  </si>
  <si>
    <t>Schwimmer (from the $1,700), for Reb Elisha - Jan 13</t>
  </si>
  <si>
    <t>Ilan (for Simons) - beginning July, August - Israeli CC - gave for Teves and Shevat</t>
  </si>
  <si>
    <t>Rav Moshe Kirsner</t>
  </si>
  <si>
    <t>Rav Yosef Reich</t>
  </si>
  <si>
    <t>Through Rabbi Caplan Zelle</t>
  </si>
  <si>
    <t>Schwimmer (from the $1,700), for Reb Elisha - Feb 11</t>
  </si>
  <si>
    <t>Shuli</t>
  </si>
  <si>
    <t>$1000 CC ($970.40)</t>
  </si>
  <si>
    <t>שרייבר, אליעזר</t>
  </si>
  <si>
    <t>Simons gave for Yom Tov (that I bought out)</t>
  </si>
  <si>
    <t>PURIM - PRINT</t>
  </si>
  <si>
    <t>proofread</t>
  </si>
  <si>
    <t>print</t>
  </si>
  <si>
    <t>Wechsler, Jacob</t>
  </si>
  <si>
    <t>פרק א</t>
  </si>
  <si>
    <t>פרק ב</t>
  </si>
  <si>
    <t>פרק ג</t>
  </si>
  <si>
    <t>פרק ד</t>
  </si>
  <si>
    <t>פרק ה</t>
  </si>
  <si>
    <t>פרק ו</t>
  </si>
  <si>
    <t>Rosenthal</t>
  </si>
  <si>
    <t>שלי</t>
  </si>
  <si>
    <t>טוביה גרינברג</t>
  </si>
  <si>
    <t>Rav Dovid Fisher</t>
  </si>
  <si>
    <t>Rav Sruly Stratner</t>
  </si>
  <si>
    <t>Rav Shmuel Dunner</t>
  </si>
  <si>
    <t>Rav Yosef Meir Weinstock</t>
  </si>
  <si>
    <t>Rav Gershon Feuer</t>
  </si>
  <si>
    <t>Rav Yaakov Bakst</t>
  </si>
  <si>
    <t>Rav Noach Weinbaum - משגיח</t>
  </si>
  <si>
    <t>Rav Shmuli Wolff</t>
  </si>
  <si>
    <t>Rav Shia Kruger</t>
  </si>
  <si>
    <t>פרקי אבות - בעל פה</t>
  </si>
  <si>
    <t>Rav Yakov Solomon</t>
  </si>
  <si>
    <t>Rav Chaim Dovid Bauminger</t>
  </si>
  <si>
    <t>Rav Yehuda Blaustein</t>
  </si>
  <si>
    <t>Rav Yehoshua Kruger</t>
  </si>
  <si>
    <t>Rav Mordechai Kaszirer</t>
  </si>
  <si>
    <t>Rav Yehuda Tugendhaft</t>
  </si>
  <si>
    <t>√</t>
  </si>
  <si>
    <t>Rav Moshe Butrimovitz</t>
  </si>
  <si>
    <t>Rav Fishel Weinberger</t>
  </si>
  <si>
    <t>Rav Moshe D Butrimovitz</t>
  </si>
  <si>
    <t>Rav Yaakov Levine</t>
  </si>
  <si>
    <t>Ilan (for Simons) - beginning July, August - Israeli CC - gave for Adar &amp; Nissin</t>
  </si>
  <si>
    <t>Dr Einstein - 5 families for pesach - Nachshon, Friend, Gellis, Matis Goldsmith, and Kunreich</t>
  </si>
  <si>
    <t>First Deliverly</t>
  </si>
  <si>
    <t>Ilan (for Simons) - Rosh Chodesh Iyar</t>
  </si>
  <si>
    <t>Schwimmer (from the $1,700), for Reb Elisha - March 15</t>
  </si>
  <si>
    <t>Rav Shlomo Gershon Roth</t>
  </si>
  <si>
    <t>Second Deliverly</t>
  </si>
  <si>
    <t>Schwimmer (from the $1,700), for Reb Elisha - April 13</t>
  </si>
  <si>
    <t>מים אחרונים</t>
  </si>
  <si>
    <t xml:space="preserve">נדה </t>
  </si>
  <si>
    <t>Asher Sova - lakewood, in June iyh</t>
  </si>
  <si>
    <t>Raizy Padawer - in Monsey</t>
  </si>
  <si>
    <t>If you ever print the booklets please let me know - charleszahler@me.com - Monsey!</t>
  </si>
  <si>
    <t>Ilan (for Simons) - Rosh Chodesh Sivan</t>
  </si>
  <si>
    <t>לעילוי נשמת</t>
  </si>
  <si>
    <t>הרב חיים אלעזר ב"ר עזריאל ז"ל</t>
  </si>
  <si>
    <t>הרב עזריאל ב"ר חיים ז"ל</t>
  </si>
  <si>
    <t>מרת הענטשא בת ר' אלעזר ע"ה</t>
  </si>
  <si>
    <t>הרב יחזקאל מאיר ב"ר זאב הלוי ז"ל</t>
  </si>
  <si>
    <t>הרב ישראל דוב ב"ר יוסף ז"ל</t>
  </si>
  <si>
    <t>מרת פערל בת ר' צבי ע"ה</t>
  </si>
  <si>
    <t>הרב יצחק אייזיק ב"ר עזריאל ז"ל</t>
  </si>
  <si>
    <t>מרת אסתר בת מרדכי ע"ה</t>
  </si>
  <si>
    <t>Paid USA</t>
  </si>
  <si>
    <t>Paid Israel</t>
  </si>
  <si>
    <t>רב יחזקאל חיון</t>
  </si>
  <si>
    <t>Maaser 12 (Rosh Chodesh Shvat) - For Reb Yossi</t>
  </si>
  <si>
    <t>Maaser 13 (Rosh Chodesh Adar) - For Reb Yossi</t>
  </si>
  <si>
    <t>Maaser 14 (Rosh Chodesh Nissim) - For Reb Yossi</t>
  </si>
  <si>
    <t>Maaser 15 (Rosh Chodesh Iyar) - For Reb Yossi</t>
  </si>
  <si>
    <t>Maaser 16 (Rosh Chodesh Sivan) - For Reb Yossi</t>
  </si>
  <si>
    <t>Schwimmer (from the $1,700), for Reb Elisha - Mayl 15</t>
  </si>
  <si>
    <t>From Avrumi Erenreich</t>
  </si>
  <si>
    <t>June 1, 2021</t>
  </si>
  <si>
    <t>Rav Moshe Spero</t>
  </si>
  <si>
    <t>הרב משה חיים ב"ר נחום ז"ל</t>
  </si>
  <si>
    <t>Maaser 17 (Rosh Chodesh Tamus) - For Reb Yossi</t>
  </si>
  <si>
    <t>Schwimmer (from the $1,700), for Reb Elisha - June 11</t>
  </si>
  <si>
    <t>Ilan (for Simons) - Rosh Chodesh Tamus</t>
  </si>
  <si>
    <t>יחוד, לא ילבש ...</t>
  </si>
  <si>
    <t>print pages 2</t>
  </si>
  <si>
    <t>Rav Gad Koenig</t>
  </si>
  <si>
    <t>Ilan (for Simons) - Rosh Chodesh Av</t>
  </si>
  <si>
    <t>Maaser 18 (Rosh Chodesh Av) - For Reb Yossi</t>
  </si>
  <si>
    <t>Schwimmer (from the $1,700), for Reb Elisha - July 11</t>
  </si>
  <si>
    <t>לא ילבש ...</t>
  </si>
  <si>
    <t>For the Rabbi - Through Reb Ahron Friedman - that I kept</t>
  </si>
  <si>
    <t>Schwimmer (from the $1,700), for Reb Elisha - August 5</t>
  </si>
  <si>
    <t>Rav Michael Soroka</t>
  </si>
  <si>
    <t>Ilan (for Simons) - Rosh Chodesh Elul</t>
  </si>
  <si>
    <t>Sponsored 2 groups of mishnayos, in chodesh Av</t>
  </si>
  <si>
    <t>Transferd to Ner Gavriel Fund</t>
  </si>
  <si>
    <t>Reb Y Weinman</t>
  </si>
  <si>
    <t>$150 paypal</t>
  </si>
  <si>
    <t>ריח-רלא</t>
  </si>
  <si>
    <t>Yichud</t>
  </si>
  <si>
    <t>רכה</t>
  </si>
  <si>
    <t>רכז-רלא</t>
  </si>
  <si>
    <t>Eli Teitelbaum</t>
  </si>
  <si>
    <t>$500 Ish Chai</t>
  </si>
  <si>
    <t>לרפואה שלמה</t>
  </si>
  <si>
    <t>Ilan (for Simons) - Rosh Chodesh Tishrei</t>
  </si>
  <si>
    <t>Schwimmer (from the $1,700), for Reb Elisha - Sep 5</t>
  </si>
  <si>
    <t>Maaser 19 (Rosh Chodesh Elul) - For Reb Yossi</t>
  </si>
  <si>
    <t>Maaser 20 (Rosh Chodesh Tishrei) - For Reb Yossi</t>
  </si>
  <si>
    <t>Rav Zevi Shapiro</t>
  </si>
  <si>
    <t>Rav Yehuda Baum</t>
  </si>
  <si>
    <t>Rav Ariel Ofek</t>
  </si>
  <si>
    <t>Rav Eliezer Saposh</t>
  </si>
  <si>
    <t>Rav Chaim Deutsch</t>
  </si>
  <si>
    <t>Rav Yoni Goldsmith</t>
  </si>
  <si>
    <t>Rav Ari Yarmish</t>
  </si>
  <si>
    <t>Rav Yisrael Friedenberg</t>
  </si>
  <si>
    <t>אחותי</t>
  </si>
  <si>
    <t>מבחן על הכל</t>
  </si>
  <si>
    <t>פרקי אבות</t>
  </si>
  <si>
    <t>מזל טוב!!!</t>
  </si>
  <si>
    <t>שך, ט"ז חשון ה'תשס"ב [אבי עזרי]</t>
  </si>
  <si>
    <t>פינקל, י"א חשון ה'תשע"ב [ראש ישיבת מיר בירושלים]</t>
  </si>
  <si>
    <t>קרליץ, ט"ו חשון ה'תשי"ד [חזו"א]</t>
  </si>
  <si>
    <t>Rav Benny Klein</t>
  </si>
  <si>
    <t>Rav Ahron Deutsch</t>
  </si>
  <si>
    <t>Ilan (for Simons) - Rosh Chodesh Cheshvan</t>
  </si>
  <si>
    <t>Rav Dovid Daum</t>
  </si>
  <si>
    <t>זיידי - בנין</t>
  </si>
  <si>
    <t>Proofs - shliach</t>
  </si>
  <si>
    <t>חנוכה</t>
  </si>
  <si>
    <t>חבורה</t>
  </si>
  <si>
    <t>Sholom Bookbinder</t>
  </si>
  <si>
    <t>Zevovabeli, Weinstock</t>
  </si>
  <si>
    <t>Paid - Oct 27, 21</t>
  </si>
  <si>
    <t>Rabbi</t>
  </si>
  <si>
    <t>Rav Chananya Urbach</t>
  </si>
  <si>
    <t>Rav Avrom Ahron Frankel</t>
  </si>
  <si>
    <t>Maaser 22 (Rosh Chodesh Kislev) - For Reb Yossi</t>
  </si>
  <si>
    <t>Maaser 21 (Rosh Chodesh Cheshvan) - For Reb Yossi</t>
  </si>
  <si>
    <t>Schwimmer (from the $1,700), for Reb Elisha - Oct 5</t>
  </si>
  <si>
    <t>Schwimmer (from the $1,700), for Reb Elisha - Nov 5</t>
  </si>
  <si>
    <t>Ilan (for Simons) - Rosh Chodesh Kislev</t>
  </si>
  <si>
    <t>חשמל - חבורות</t>
  </si>
  <si>
    <t xml:space="preserve"> מרדכי עזריאל בן אסתר</t>
  </si>
  <si>
    <t>חיים בן רחל</t>
  </si>
  <si>
    <t>חשמל - חבורות - זיידי</t>
  </si>
  <si>
    <t>ישראל בן אסתר מלכה</t>
  </si>
  <si>
    <t>מאיר צבי בן ליבה</t>
  </si>
  <si>
    <t>בתוך שאר חולי ישראל</t>
  </si>
  <si>
    <t>Mishnayos - from the begining of Chesvan</t>
  </si>
  <si>
    <t>Nitzky, Harvey</t>
  </si>
  <si>
    <t>Nitzky, for semicha mesiba - that I bought (switched)</t>
  </si>
  <si>
    <t>Rav Moshe Sherrow</t>
  </si>
  <si>
    <t>Rav Yaakov Leonard</t>
  </si>
  <si>
    <t>Rav Yehoshua Rishe</t>
  </si>
  <si>
    <t>Rav Aviezer Rishe</t>
  </si>
  <si>
    <t>Rav Moshe Lipschitz</t>
  </si>
  <si>
    <t>Silber, Yosef</t>
  </si>
  <si>
    <t>Cohen, Aaron</t>
  </si>
  <si>
    <t>Yitzy Schwab, for semicha mesiba - that I bought (switched)</t>
  </si>
  <si>
    <t>Aaron Cohen, for semicha mesiba - that I bought (switched)</t>
  </si>
  <si>
    <t>Naftoli Klein, for semicha mesiba - that I bought (switched)</t>
  </si>
  <si>
    <t>200 NIS Moshe Issac Shapiro CC, for semicha mesiba - that I bought (switched)</t>
  </si>
  <si>
    <t>Klein, Naftoli</t>
  </si>
  <si>
    <t>Shapiro, Moshe Issac</t>
  </si>
  <si>
    <t>דוב בן חנה</t>
  </si>
  <si>
    <t>Rav Chaim Zeidel</t>
  </si>
  <si>
    <t>Rav Ahron Sieratzki</t>
  </si>
  <si>
    <t>Rav Tzvi Galinsky</t>
  </si>
  <si>
    <t>Rav Zacharia Praw</t>
  </si>
  <si>
    <t>Rav Amrom Pitterman</t>
  </si>
  <si>
    <t>Rav Ruven Abuchatzera</t>
  </si>
  <si>
    <t>Rav Yitzchak Rosenfeld</t>
  </si>
  <si>
    <t>Rav Yehuda Goldstein</t>
  </si>
  <si>
    <t>קהילת יעקב</t>
  </si>
  <si>
    <t>Rav Ari Walfish</t>
  </si>
  <si>
    <t>Rav Dovi Rogoff</t>
  </si>
  <si>
    <t>Rav Avi Rabinovits</t>
  </si>
  <si>
    <t>Maaser 23 (Rosh Chodesh Teves) - For Reb Yossi</t>
  </si>
  <si>
    <t>Schwimmer (from the $1,700), for Reb Elisha - Dec 5</t>
  </si>
  <si>
    <t>Ilan (for Simons) - Rosh Chodesh Teves</t>
  </si>
  <si>
    <t>ברכות</t>
  </si>
  <si>
    <t>Rav Dovid Grossman</t>
  </si>
  <si>
    <r>
      <t>Daniel Reines</t>
    </r>
    <r>
      <rPr>
        <sz val="7"/>
        <color rgb="FF222222"/>
        <rFont val="Roboto"/>
      </rPr>
      <t> </t>
    </r>
    <r>
      <rPr>
        <sz val="7"/>
        <color rgb="FF555555"/>
        <rFont val="Roboto"/>
      </rPr>
      <t>&lt;dreines95@gmail.com&gt;</t>
    </r>
  </si>
  <si>
    <t>$500 CC ($482.50)</t>
  </si>
  <si>
    <t>Kushner, Toby</t>
  </si>
  <si>
    <t>2022: $</t>
  </si>
  <si>
    <t>Daniel Green</t>
  </si>
  <si>
    <t>Dovid Y Rimmer</t>
  </si>
  <si>
    <t>Levin, Yakov</t>
  </si>
  <si>
    <t>Zellermaier, Menachem</t>
  </si>
  <si>
    <t>Englard, Arieh</t>
  </si>
  <si>
    <t>Rafael Ben-Gershon</t>
  </si>
  <si>
    <t>Ofek, Ariel</t>
  </si>
  <si>
    <t>Rav Avrohom Wolman</t>
  </si>
  <si>
    <t>Rav Kalman Laxs</t>
  </si>
  <si>
    <t>Rav Ari Deutch</t>
  </si>
  <si>
    <t>Schwimmer (from the $1,700), for Reb Elisha - Jan 3 2022</t>
  </si>
  <si>
    <t>Mishnayos - from the begining of Shevat</t>
  </si>
  <si>
    <t>Ilan (for Simons) - Rosh Chodesh Shevat</t>
  </si>
  <si>
    <t>$250 CC ($241.25)</t>
  </si>
  <si>
    <t>I bought through shimshie (Stein, weiss, Rokowsky, hirsh - 500,1000,180,180)</t>
  </si>
  <si>
    <t>צידה</t>
  </si>
  <si>
    <t>Ahuvi</t>
  </si>
  <si>
    <t>Sponsored a group of mishnayos, in chodesh Shevat</t>
  </si>
  <si>
    <t>Dovi Halberstam - that went to Ner Gavriel - for Reb Eli Meyer, for 2021</t>
  </si>
  <si>
    <t>Dovi Halberstam - that went to Ner Gavriel - for Reb Eli Meyer, for 2022</t>
  </si>
  <si>
    <t>Yehuda and Ita Levy</t>
  </si>
  <si>
    <t>Paid - Feb 1, 22</t>
  </si>
  <si>
    <t>Shmuel Gold &lt;isbus179@juno.com&gt;</t>
  </si>
  <si>
    <t>Heitner - that went to Ner Gavriel - for Reb Eli Meyer, for 2022</t>
  </si>
  <si>
    <t>מעבד</t>
  </si>
  <si>
    <t>Rav Kuti Jankelovits</t>
  </si>
  <si>
    <t>Butrimovitz, Klein, Averick - Mishnayos, end of Adar 1</t>
  </si>
  <si>
    <t>Ilan (for Simons) - Rosh Chodesh Adar 2</t>
  </si>
  <si>
    <t>Ilan (for Simons) - Rosh Chodesh Adar 1</t>
  </si>
  <si>
    <t>דוד בן אברהם</t>
  </si>
  <si>
    <t>Rav Moshe Shefer</t>
  </si>
  <si>
    <t>Rivky - from, brother</t>
  </si>
  <si>
    <t>150 CC ($144.75)</t>
  </si>
  <si>
    <t>$100 CC ($97.5)</t>
  </si>
  <si>
    <t>Bram Greenberg 2</t>
  </si>
  <si>
    <t>2 sets</t>
  </si>
  <si>
    <t>Sold - USA</t>
  </si>
  <si>
    <t>Delivery - $490</t>
  </si>
  <si>
    <t>Sold - Eretz Yisroel</t>
  </si>
  <si>
    <t>Rav Boruch Abish</t>
  </si>
  <si>
    <t>Butrimovitz, Klein, Averick - Mishnayos, end of Adar 2</t>
  </si>
  <si>
    <t>Schwimmer (from the $1,700), for Reb Elisha - Feb 3 2022</t>
  </si>
  <si>
    <t>Schwimmer (from the $1,700), for Reb Elisha - March 3 2022</t>
  </si>
  <si>
    <t>Schwimmer (from the $1,700), for Reb Elisha - April 1 2022</t>
  </si>
  <si>
    <t>Rav Akiva Jalbon</t>
  </si>
  <si>
    <t>Sponsored a group of mishnayos, in chodesh Nisson, Zecharyia Zahler</t>
  </si>
  <si>
    <t>Rav Shmuly Goldsmith</t>
  </si>
  <si>
    <t>Rav Yehoshua Silverman</t>
  </si>
  <si>
    <t>$350 CC ($337.75)</t>
  </si>
  <si>
    <t>Mishnayos - from the begining of Nissian</t>
  </si>
  <si>
    <t>Schwimmer (from the $1,700), for Reb Elisha - May 1 2022</t>
  </si>
  <si>
    <t>Butrimovitz, Klein, Averick - Mishnayos, end of Nissian</t>
  </si>
  <si>
    <t>50 nis - From Meyer Shabsi bother-in-law</t>
  </si>
  <si>
    <t>Rav Nahum Twersky</t>
  </si>
  <si>
    <t>Butrimovitz, Klein, Averick - Mishnayos, end of Iyar</t>
  </si>
  <si>
    <t>Mishnayos - from the begining of Adar 2</t>
  </si>
  <si>
    <t>Schwimmer (from the $1,700), for Reb Elisha - June 1 2022</t>
  </si>
  <si>
    <t>שיב</t>
  </si>
  <si>
    <t>Rav Avi Rosenfeld</t>
  </si>
  <si>
    <t>Rav Shmuel Rashbass</t>
  </si>
  <si>
    <t>Rav Hadar Mogolin</t>
  </si>
  <si>
    <t>Rav Yechiel Deutsch</t>
  </si>
  <si>
    <t>Rav Mordechai Saposh</t>
  </si>
  <si>
    <t>Rav Sholomo Zalman Mandel</t>
  </si>
  <si>
    <t>Rav Boruch Ridholtz</t>
  </si>
  <si>
    <t>Rav Yitzi Ruffer</t>
  </si>
  <si>
    <t>Rav Boruch Simon</t>
  </si>
  <si>
    <t>Rav Yedi Deutsch</t>
  </si>
  <si>
    <t>Rav Moshe Lancz</t>
  </si>
  <si>
    <t>Rav Yisrael Eliyahu Friedman</t>
  </si>
  <si>
    <t>Rav Alex Levi</t>
  </si>
  <si>
    <t>Schwimmer (from the $1,700), for Reb Elisha - July 1 2022</t>
  </si>
  <si>
    <t>Butrimovitz, Klein, Averick - Mishnayos, end of Sivan</t>
  </si>
  <si>
    <t>Ilan (for Simons) - Rosh Chodesh Nissan +20</t>
  </si>
  <si>
    <t>Ilan (for Simons) - Rosh Chodesh Iyar +20</t>
  </si>
  <si>
    <t>Ilan (for Simons) - Rosh Chodesh Sivan +20</t>
  </si>
  <si>
    <t>Ilan (for Simons) - Rosh Chodesh Tamus +20</t>
  </si>
  <si>
    <t>Ilan (for Simons) - Rosh Chodesh Av +20</t>
  </si>
  <si>
    <t>Butrimovitz, Klein, Averick - Mishnayos, end of Tamus</t>
  </si>
  <si>
    <t>Schwimmer (from the $1,700), for Reb Elisha - August 1 2022</t>
  </si>
  <si>
    <t>רמ</t>
  </si>
  <si>
    <t>שעו</t>
  </si>
  <si>
    <t>חיים יששכר דוב בן חוה</t>
  </si>
  <si>
    <t>בריינדל פרומט בת רחל מרים</t>
  </si>
  <si>
    <t>Rav Levi Leonard</t>
  </si>
  <si>
    <t>Rav Menachem Leonard</t>
  </si>
  <si>
    <t>For Gellis and Samuels (Reb Yitzy chabura) - $600 each [2 months]</t>
  </si>
  <si>
    <t>Butrimovitz, Klein (he dropped mishnayos), Averick - Mishnayos, end of Av</t>
  </si>
  <si>
    <t>Ilan (for Simons) - Rosh Chodesh Elul +20</t>
  </si>
  <si>
    <t>Schwimmer (from the $1,700), for Reb Elisha - August 27 2022</t>
  </si>
  <si>
    <t>Rav Eliyahu Nathen</t>
  </si>
  <si>
    <t>Rav Meir Stephansky</t>
  </si>
  <si>
    <t>For Gellis and Samuels (Reb Yitzy chabura) - $300 each</t>
  </si>
  <si>
    <t>Rav Moshe Cziment</t>
  </si>
  <si>
    <t>Rav Shlomo Kravitz</t>
  </si>
  <si>
    <t xml:space="preserve">חבורה </t>
  </si>
  <si>
    <t>מרת פייגא בת ר' דוד</t>
  </si>
  <si>
    <t>הרב אברהם יוסף ב"ר שרגא פייבל</t>
  </si>
  <si>
    <t>ור' יעקב יוסף בן אברהם</t>
  </si>
  <si>
    <t>Rav Avraham Assil</t>
  </si>
  <si>
    <t>Rav David N. Gabbay</t>
  </si>
  <si>
    <t>Ilan (for Simons) - Rosh Chodesh Tishrei +20</t>
  </si>
  <si>
    <t>NGF - Sukkas</t>
  </si>
  <si>
    <t>הרב חיים ב"ר מנחם מאיר ז"ל</t>
  </si>
  <si>
    <t>י"א תשרי תשפ"ג</t>
  </si>
  <si>
    <t>group 1 (102th Siyum) - חשון תשפ"ג</t>
  </si>
  <si>
    <t>group 2 (79th Siyum) - חשון תשפ"ג</t>
  </si>
  <si>
    <t>group 3 (53rd Siyum) - חשון תשפ"ג</t>
  </si>
  <si>
    <t>group 4 (35th Siyum) - חשון תשפ"ג</t>
  </si>
  <si>
    <t>group 5 (21th Siyum) - חשון תשפ"ג</t>
  </si>
  <si>
    <t>group 6 (15th Siyum) - חשון תשפ"ג</t>
  </si>
  <si>
    <t>group 7 (12th Siyum) - חשון תשפ"ג</t>
  </si>
  <si>
    <t>group 8 (5th Siyum) - חשון תשפ"ג</t>
  </si>
  <si>
    <t>group 48 - חשון תשפ"ג</t>
  </si>
  <si>
    <t xml:space="preserve">הג' הרב אלעזר מנחם מן ב"ר עזריאל ז"ל </t>
  </si>
  <si>
    <t>הג' הרב נתן צבי ב"ר אליהו מאיר ז"ל</t>
  </si>
  <si>
    <t>Sponsored a group of mishnayos, in chodesh Tishrei, Besechus Sruli Tratner</t>
  </si>
  <si>
    <t>Butrimovitz, Klein (he dropped mishnayos), Averick - Mishnayos, end of Tishrei</t>
  </si>
  <si>
    <t>Schwimmer (from the $1,700), for Reb Elisha - Sept 27 2022</t>
  </si>
  <si>
    <t>Ilan (for Simons) - Rosh Chodesh Cheshvan +20</t>
  </si>
  <si>
    <t>מרת צירל בת רב מורדכי ע"ה</t>
  </si>
  <si>
    <t>הג' הרב אברהם ישעיהו ב"ר מאיר ז"ל</t>
  </si>
  <si>
    <t>Rav Boruch Kaven (48th month)</t>
  </si>
  <si>
    <t>Rav Mortechai Gross (45th month)</t>
  </si>
  <si>
    <t>Rav Rafael Kristallweiss (9th month)</t>
  </si>
  <si>
    <t>חוה איטא בת דבורה מרים</t>
  </si>
  <si>
    <t>Rav Chavrusa</t>
  </si>
  <si>
    <t>Rav Yonaton Nachshon (48th month)</t>
  </si>
  <si>
    <t>Rav Matan Weisberg (14th month)</t>
  </si>
  <si>
    <t>341th Siyum</t>
  </si>
  <si>
    <t>342nd Siyum</t>
  </si>
  <si>
    <t>343rd Siyum</t>
  </si>
  <si>
    <t>344th Siyum</t>
  </si>
  <si>
    <t>345th Siyum</t>
  </si>
  <si>
    <t>346th Siyum</t>
  </si>
  <si>
    <t>347th Siyum</t>
  </si>
  <si>
    <t>348th Siyum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</si>
</sst>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_);[Red]\(&quot;$&quot;#,##0\)"/>
    <numFmt numFmtId="164" formatCode="&quot;$&quot;#,##0"/>
    <numFmt numFmtId="165" formatCode="[$₪-40D]\ #,##0.00"/>
    <numFmt numFmtId="166" formatCode="[$£-809]#,##0.00"/>
    <numFmt numFmtId="167" formatCode="[$₪-40D]\ #,##0"/>
    <numFmt numFmtId="168" formatCode="&quot;$&quot;#,##0.00"/>
    <numFmt numFmtId="169" formatCode="[$$-1009]#,##0"/>
    <numFmt numFmtId="170" formatCode="&quot;₪&quot;#,##0"/>
    <numFmt numFmtId="171" formatCode="[$$-409]#,##0"/>
    <numFmt numFmtId="172" formatCode="[$$-409]#,##0.00"/>
    <numFmt numFmtId="173" formatCode="[$$-45C]#,##0"/>
    <numFmt numFmtId="174" formatCode="[$$-C09]#,##0"/>
    <numFmt numFmtId="175" formatCode="[$$-C09]#,##0.00"/>
    <numFmt numFmtId="176" formatCode="[$$-1009]#,##0.00"/>
    <numFmt numFmtId="177" formatCode="&quot;₪&quot;#,##0;[Red]&quot;₪&quot;#,##0"/>
    <numFmt numFmtId="178" formatCode="&quot;₪&quot;#,##0.00"/>
    <numFmt numFmtId="179" formatCode="[$-409]mmmm\ d\,\ yyyy;@"/>
  </numFmts>
  <fonts count="65">
    <font>
      <sz val="11"/>
      <color theme="1"/>
      <name val="Calibri"/>
      <family val="2"/>
      <scheme val="minor"/>
    </font>
    <font>
      <sz val="9"/>
      <color theme="1"/>
      <name val="Calibri"/>
      <family val="2"/>
      <scheme val="minor"/>
    </font>
    <font>
      <sz val="9"/>
      <color rgb="FF000000"/>
      <name val="Calibri"/>
      <family val="2"/>
      <scheme val="minor"/>
    </font>
    <font>
      <sz val="12"/>
      <color theme="1"/>
      <name val="Times New Roman"/>
      <family val="1"/>
    </font>
    <font>
      <u/>
      <sz val="12"/>
      <color theme="1"/>
      <name val="Times New Roman"/>
      <family val="1"/>
    </font>
    <font>
      <sz val="11"/>
      <color rgb="FF000000"/>
      <name val="Calibri"/>
      <family val="2"/>
      <scheme val="minor"/>
    </font>
    <font>
      <sz val="10"/>
      <color theme="1"/>
      <name val="Calibri"/>
      <family val="2"/>
      <scheme val="minor"/>
    </font>
    <font>
      <sz val="10"/>
      <color rgb="FF000000"/>
      <name val="Calibri"/>
      <family val="2"/>
      <scheme val="minor"/>
    </font>
    <font>
      <sz val="9"/>
      <color indexed="81"/>
      <name val="Tahoma"/>
      <family val="2"/>
    </font>
    <font>
      <b/>
      <sz val="9"/>
      <color indexed="81"/>
      <name val="Tahoma"/>
      <family val="2"/>
    </font>
    <font>
      <sz val="11"/>
      <name val="Calibri"/>
      <family val="2"/>
      <scheme val="minor"/>
    </font>
    <font>
      <sz val="9"/>
      <name val="Calibri"/>
      <family val="2"/>
      <scheme val="minor"/>
    </font>
    <font>
      <u/>
      <sz val="11"/>
      <color theme="10"/>
      <name val="Calibri"/>
      <family val="2"/>
      <scheme val="minor"/>
    </font>
    <font>
      <sz val="11"/>
      <color theme="1"/>
      <name val="Calibri"/>
      <family val="2"/>
    </font>
    <font>
      <sz val="11"/>
      <color rgb="FFFF0000"/>
      <name val="Calibri"/>
      <family val="2"/>
      <scheme val="minor"/>
    </font>
    <font>
      <sz val="12"/>
      <color rgb="FF000000"/>
      <name val="Calibri"/>
      <family val="2"/>
    </font>
    <font>
      <sz val="10"/>
      <color rgb="FF222222"/>
      <name val="Calibri"/>
      <family val="2"/>
      <scheme val="minor"/>
    </font>
    <font>
      <sz val="11"/>
      <color theme="1"/>
      <name val="Calibri"/>
      <family val="2"/>
      <scheme val="minor"/>
    </font>
    <font>
      <sz val="11"/>
      <color rgb="FF000000"/>
      <name val="Calibri"/>
      <family val="2"/>
      <scheme val="minor"/>
    </font>
    <font>
      <u/>
      <sz val="11"/>
      <color theme="10"/>
      <name val="Calibri"/>
      <family val="2"/>
      <scheme val="minor"/>
    </font>
    <font>
      <sz val="10"/>
      <color rgb="FF000000"/>
      <name val="Tahoma"/>
      <family val="2"/>
    </font>
    <font>
      <sz val="12"/>
      <color rgb="FF000000"/>
      <name val="Calibri"/>
      <family val="2"/>
      <scheme val="minor"/>
    </font>
    <font>
      <sz val="10"/>
      <color rgb="FF000000"/>
      <name val="Calibri"/>
      <family val="2"/>
      <scheme val="minor"/>
    </font>
    <font>
      <sz val="9"/>
      <name val="Calibri"/>
      <family val="2"/>
      <scheme val="minor"/>
    </font>
    <font>
      <sz val="9"/>
      <color rgb="FF000000"/>
      <name val="Calibri"/>
      <family val="2"/>
      <scheme val="minor"/>
    </font>
    <font>
      <sz val="9"/>
      <color theme="1"/>
      <name val="Calibri"/>
      <family val="2"/>
      <scheme val="minor"/>
    </font>
    <font>
      <sz val="12"/>
      <color rgb="FF222222"/>
      <name val="Arial"/>
      <family val="2"/>
    </font>
    <font>
      <sz val="10"/>
      <color rgb="FF222222"/>
      <name val="Arial"/>
      <family val="2"/>
    </font>
    <font>
      <b/>
      <u/>
      <sz val="11"/>
      <color theme="1"/>
      <name val="Calibri"/>
      <family val="2"/>
      <scheme val="minor"/>
    </font>
    <font>
      <sz val="12"/>
      <color theme="1"/>
      <name val="Times New Roman"/>
      <family val="1"/>
    </font>
    <font>
      <sz val="12"/>
      <color rgb="FF222222"/>
      <name val="Calibri"/>
      <family val="2"/>
      <scheme val="minor"/>
    </font>
    <font>
      <u/>
      <sz val="11"/>
      <color rgb="FF0000FF"/>
      <name val="Calibri"/>
      <family val="2"/>
      <scheme val="minor"/>
    </font>
    <font>
      <sz val="12"/>
      <color rgb="FF000000"/>
      <name val="Tahoma"/>
      <family val="2"/>
    </font>
    <font>
      <sz val="11"/>
      <color rgb="FF000000"/>
      <name val="Arial"/>
      <family val="2"/>
    </font>
    <font>
      <sz val="12"/>
      <color rgb="FF222222"/>
      <name val="Times New Roman"/>
      <family val="1"/>
    </font>
    <font>
      <b/>
      <sz val="12"/>
      <color theme="1"/>
      <name val="Calibri"/>
      <family val="2"/>
      <scheme val="minor"/>
    </font>
    <font>
      <sz val="10.5"/>
      <color theme="1"/>
      <name val="MS Reference Sans Serif"/>
      <family val="2"/>
    </font>
    <font>
      <b/>
      <u/>
      <sz val="14"/>
      <color rgb="FF000000"/>
      <name val="Calibri"/>
      <family val="2"/>
      <scheme val="minor"/>
    </font>
    <font>
      <sz val="12"/>
      <color rgb="FF000000"/>
      <name val="Times New Roman"/>
      <family val="1"/>
    </font>
    <font>
      <sz val="12"/>
      <color rgb="FF222222"/>
      <name val="Cambria"/>
      <family val="1"/>
      <scheme val="major"/>
    </font>
    <font>
      <sz val="12"/>
      <color theme="1"/>
      <name val="Cambria"/>
      <family val="1"/>
      <scheme val="major"/>
    </font>
    <font>
      <sz val="12"/>
      <color rgb="FF000000"/>
      <name val="Cambria"/>
      <family val="1"/>
      <scheme val="major"/>
    </font>
    <font>
      <u/>
      <sz val="9"/>
      <color indexed="81"/>
      <name val="Tahoma"/>
      <family val="2"/>
    </font>
    <font>
      <b/>
      <u/>
      <sz val="9"/>
      <color indexed="81"/>
      <name val="Tahoma"/>
      <family val="2"/>
    </font>
    <font>
      <sz val="11"/>
      <color theme="1"/>
      <name val="Cambria"/>
      <family val="1"/>
      <scheme val="major"/>
    </font>
    <font>
      <sz val="11"/>
      <color rgb="FF333333"/>
      <name val="Calibri"/>
      <family val="2"/>
      <scheme val="minor"/>
    </font>
    <font>
      <b/>
      <sz val="11"/>
      <color theme="1"/>
      <name val="Calibri"/>
      <family val="2"/>
      <scheme val="minor"/>
    </font>
    <font>
      <b/>
      <sz val="8"/>
      <color rgb="FF202124"/>
      <name val="Calibri"/>
      <family val="2"/>
      <scheme val="minor"/>
    </font>
    <font>
      <b/>
      <u/>
      <sz val="10"/>
      <color rgb="FF222222"/>
      <name val="Calibri"/>
      <family val="2"/>
      <scheme val="minor"/>
    </font>
    <font>
      <sz val="9"/>
      <color rgb="FF1F497D"/>
      <name val="Calibri"/>
      <family val="2"/>
    </font>
    <font>
      <sz val="12"/>
      <name val="Cambria"/>
      <family val="1"/>
      <scheme val="major"/>
    </font>
    <font>
      <b/>
      <u/>
      <sz val="12"/>
      <color theme="1"/>
      <name val="Calibri"/>
      <family val="2"/>
      <scheme val="minor"/>
    </font>
    <font>
      <sz val="11"/>
      <color theme="1"/>
      <name val="Times New Roman"/>
      <family val="1"/>
    </font>
    <font>
      <b/>
      <sz val="12"/>
      <color rgb="FF222222"/>
      <name val="Times New Roman"/>
      <family val="1"/>
    </font>
    <font>
      <b/>
      <sz val="11"/>
      <color theme="1"/>
      <name val="Times New Roman"/>
      <family val="1"/>
    </font>
    <font>
      <b/>
      <sz val="12"/>
      <color theme="1"/>
      <name val="Times New Roman"/>
      <family val="1"/>
    </font>
    <font>
      <b/>
      <u/>
      <sz val="12"/>
      <color rgb="FF222222"/>
      <name val="Times New Roman"/>
      <family val="1"/>
    </font>
    <font>
      <b/>
      <sz val="12"/>
      <color rgb="FF000000"/>
      <name val="Times New Roman"/>
      <family val="1"/>
    </font>
    <font>
      <b/>
      <u/>
      <sz val="12"/>
      <color theme="1"/>
      <name val="Times New Roman"/>
      <family val="1"/>
    </font>
    <font>
      <b/>
      <u/>
      <sz val="12"/>
      <color rgb="FF000000"/>
      <name val="Times New Roman"/>
      <family val="1"/>
    </font>
    <font>
      <b/>
      <sz val="7"/>
      <color rgb="FF202124"/>
      <name val="Roboto"/>
    </font>
    <font>
      <sz val="7"/>
      <color rgb="FF222222"/>
      <name val="Roboto"/>
    </font>
    <font>
      <sz val="7"/>
      <color rgb="FF555555"/>
      <name val="Roboto"/>
    </font>
    <font>
      <sz val="10"/>
      <color rgb="FF000000"/>
      <name val="Times New Roman"/>
      <family val="1"/>
    </font>
    <font>
      <b/>
      <u/>
      <sz val="9"/>
      <color rgb="FF000000"/>
      <name val="Calibri"/>
      <family val="2"/>
      <scheme val="minor"/>
    </font>
  </fonts>
  <fills count="29">
    <fill>
      <patternFill patternType="none"/>
    </fill>
    <fill>
      <patternFill patternType="gray125"/>
    </fill>
    <fill>
      <patternFill patternType="solid">
        <fgColor rgb="FFFFFF00"/>
        <bgColor indexed="64"/>
      </patternFill>
    </fill>
    <fill>
      <patternFill patternType="solid">
        <fgColor rgb="FFFFFF00"/>
        <bgColor rgb="FF000000"/>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rgb="FF92D050"/>
        <bgColor rgb="FF000000"/>
      </patternFill>
    </fill>
    <fill>
      <patternFill patternType="solid">
        <fgColor theme="0"/>
        <bgColor indexed="64"/>
      </patternFill>
    </fill>
    <fill>
      <patternFill patternType="solid">
        <fgColor rgb="FF00B0F0"/>
        <bgColor indexed="64"/>
      </patternFill>
    </fill>
    <fill>
      <patternFill patternType="solid">
        <fgColor rgb="FFFFFFFF"/>
        <bgColor rgb="FF000000"/>
      </patternFill>
    </fill>
    <fill>
      <patternFill patternType="solid">
        <fgColor theme="9" tint="0.59999389629810485"/>
        <bgColor indexed="64"/>
      </patternFill>
    </fill>
    <fill>
      <patternFill patternType="solid">
        <fgColor theme="5" tint="0.59999389629810485"/>
        <bgColor indexed="64"/>
      </patternFill>
    </fill>
    <fill>
      <patternFill patternType="solid">
        <fgColor rgb="FFE6B8B7"/>
        <bgColor rgb="FF000000"/>
      </patternFill>
    </fill>
    <fill>
      <patternFill patternType="solid">
        <fgColor theme="1" tint="0.499984740745262"/>
        <bgColor indexed="64"/>
      </patternFill>
    </fill>
    <fill>
      <patternFill patternType="solid">
        <fgColor rgb="FFDDD9C4"/>
        <bgColor rgb="FF000000"/>
      </patternFill>
    </fill>
    <fill>
      <patternFill patternType="solid">
        <fgColor rgb="FFC00000"/>
        <bgColor rgb="FF000000"/>
      </patternFill>
    </fill>
    <fill>
      <patternFill patternType="solid">
        <fgColor rgb="FFD9D9D9"/>
        <bgColor rgb="FF000000"/>
      </patternFill>
    </fill>
    <fill>
      <patternFill patternType="solid">
        <fgColor theme="9" tint="0.79998168889431442"/>
        <bgColor indexed="64"/>
      </patternFill>
    </fill>
    <fill>
      <patternFill patternType="solid">
        <fgColor rgb="FFFDE9D9"/>
        <bgColor rgb="FF000000"/>
      </patternFill>
    </fill>
    <fill>
      <patternFill patternType="solid">
        <fgColor theme="9" tint="0.79998168889431442"/>
        <bgColor rgb="FF000000"/>
      </patternFill>
    </fill>
    <fill>
      <patternFill patternType="solid">
        <fgColor theme="4" tint="0.79998168889431442"/>
        <bgColor indexed="64"/>
      </patternFill>
    </fill>
    <fill>
      <patternFill patternType="solid">
        <fgColor theme="6" tint="0.59999389629810485"/>
        <bgColor indexed="64"/>
      </patternFill>
    </fill>
    <fill>
      <patternFill patternType="solid">
        <fgColor theme="4" tint="0.79998168889431442"/>
        <bgColor rgb="FF000000"/>
      </patternFill>
    </fill>
    <fill>
      <patternFill patternType="solid">
        <fgColor rgb="FFDCE6F1"/>
        <bgColor rgb="FF000000"/>
      </patternFill>
    </fill>
    <fill>
      <patternFill patternType="solid">
        <fgColor theme="7" tint="0.59999389629810485"/>
        <bgColor indexed="64"/>
      </patternFill>
    </fill>
    <fill>
      <patternFill patternType="solid">
        <fgColor theme="7" tint="0.59999389629810485"/>
        <bgColor rgb="FF000000"/>
      </patternFill>
    </fill>
    <fill>
      <patternFill patternType="solid">
        <fgColor rgb="FFCCC0DA"/>
        <bgColor rgb="FF000000"/>
      </patternFill>
    </fill>
    <fill>
      <patternFill patternType="solid">
        <fgColor theme="2" tint="-9.9978637043366805E-2"/>
        <bgColor indexed="64"/>
      </patternFill>
    </fill>
  </fills>
  <borders count="1">
    <border>
      <left/>
      <right/>
      <top/>
      <bottom/>
      <diagonal/>
    </border>
  </borders>
  <cellStyleXfs count="2">
    <xf numFmtId="0" fontId="0" fillId="0" borderId="0"/>
    <xf numFmtId="0" fontId="12" fillId="0" borderId="0" applyNumberFormat="0" applyFill="0" applyBorder="0" applyAlignment="0" applyProtection="0"/>
  </cellStyleXfs>
  <cellXfs count="252">
    <xf numFmtId="0" fontId="0" fillId="0" borderId="0" xfId="0"/>
    <xf numFmtId="0" fontId="1" fillId="0" borderId="0" xfId="0" applyFont="1"/>
    <xf numFmtId="0" fontId="0" fillId="0" borderId="0" xfId="0" applyAlignment="1">
      <alignment horizontal="center"/>
    </xf>
    <xf numFmtId="0" fontId="3" fillId="0" borderId="0" xfId="0" applyFont="1" applyAlignment="1">
      <alignment horizontal="right" vertical="center" readingOrder="2"/>
    </xf>
    <xf numFmtId="0" fontId="4" fillId="0" borderId="0" xfId="0" applyFont="1" applyAlignment="1">
      <alignment horizontal="right" vertical="center" readingOrder="2"/>
    </xf>
    <xf numFmtId="0" fontId="3" fillId="0" borderId="0" xfId="0" applyFont="1"/>
    <xf numFmtId="0" fontId="2" fillId="0" borderId="0" xfId="0" applyFont="1"/>
    <xf numFmtId="0" fontId="5" fillId="0" borderId="0" xfId="0" applyFont="1"/>
    <xf numFmtId="0" fontId="7" fillId="0" borderId="0" xfId="0" applyFont="1"/>
    <xf numFmtId="0" fontId="2" fillId="0" borderId="0" xfId="0" applyFont="1" applyAlignment="1">
      <alignment horizontal="left"/>
    </xf>
    <xf numFmtId="0" fontId="1" fillId="2" borderId="0" xfId="0" applyFont="1" applyFill="1"/>
    <xf numFmtId="0" fontId="0" fillId="2" borderId="0" xfId="0" applyFill="1"/>
    <xf numFmtId="0" fontId="5" fillId="0" borderId="0" xfId="0" applyFont="1" applyAlignment="1">
      <alignment horizontal="center"/>
    </xf>
    <xf numFmtId="0" fontId="2" fillId="3" borderId="0" xfId="0" applyFont="1" applyFill="1"/>
    <xf numFmtId="0" fontId="0" fillId="4" borderId="0" xfId="0" applyFill="1"/>
    <xf numFmtId="0" fontId="11" fillId="0" borderId="0" xfId="0" applyFont="1"/>
    <xf numFmtId="0" fontId="11" fillId="3" borderId="0" xfId="0" applyFont="1" applyFill="1"/>
    <xf numFmtId="0" fontId="0" fillId="0" borderId="0" xfId="0" applyAlignment="1">
      <alignment horizontal="right"/>
    </xf>
    <xf numFmtId="0" fontId="0" fillId="0" borderId="0" xfId="0" applyAlignment="1">
      <alignment horizontal="left"/>
    </xf>
    <xf numFmtId="0" fontId="5" fillId="0" borderId="0" xfId="0" applyFont="1" applyAlignment="1">
      <alignment readingOrder="2"/>
    </xf>
    <xf numFmtId="0" fontId="15" fillId="0" borderId="0" xfId="0" applyFont="1" applyAlignment="1">
      <alignment vertical="center" wrapText="1"/>
    </xf>
    <xf numFmtId="0" fontId="0" fillId="11" borderId="0" xfId="0" applyFill="1"/>
    <xf numFmtId="0" fontId="16" fillId="0" borderId="0" xfId="0" applyFont="1" applyAlignment="1">
      <alignment vertical="center" wrapText="1"/>
    </xf>
    <xf numFmtId="0" fontId="3" fillId="0" borderId="0" xfId="0" applyFont="1" applyAlignment="1">
      <alignment vertical="center"/>
    </xf>
    <xf numFmtId="0" fontId="17" fillId="0" borderId="0" xfId="0" applyFont="1"/>
    <xf numFmtId="0" fontId="18" fillId="0" borderId="0" xfId="0" applyFont="1"/>
    <xf numFmtId="164" fontId="17" fillId="0" borderId="0" xfId="0" applyNumberFormat="1" applyFont="1"/>
    <xf numFmtId="0" fontId="19" fillId="0" borderId="0" xfId="1" applyFont="1"/>
    <xf numFmtId="165" fontId="17" fillId="0" borderId="0" xfId="0" applyNumberFormat="1" applyFont="1"/>
    <xf numFmtId="0" fontId="17" fillId="2" borderId="0" xfId="0" applyFont="1" applyFill="1"/>
    <xf numFmtId="0" fontId="17" fillId="6" borderId="0" xfId="0" applyFont="1" applyFill="1"/>
    <xf numFmtId="0" fontId="17" fillId="0" borderId="0" xfId="0" applyFont="1" applyAlignment="1">
      <alignment readingOrder="1"/>
    </xf>
    <xf numFmtId="0" fontId="19" fillId="0" borderId="0" xfId="1" applyFont="1" applyAlignment="1">
      <alignment readingOrder="1"/>
    </xf>
    <xf numFmtId="0" fontId="20" fillId="0" borderId="0" xfId="0" applyFont="1"/>
    <xf numFmtId="167" fontId="17" fillId="0" borderId="0" xfId="0" applyNumberFormat="1" applyFont="1"/>
    <xf numFmtId="0" fontId="18" fillId="0" borderId="0" xfId="0" applyFont="1" applyAlignment="1">
      <alignment readingOrder="1"/>
    </xf>
    <xf numFmtId="0" fontId="17" fillId="2" borderId="0" xfId="0" applyFont="1" applyFill="1" applyAlignment="1">
      <alignment readingOrder="1"/>
    </xf>
    <xf numFmtId="164" fontId="17" fillId="2" borderId="0" xfId="0" applyNumberFormat="1" applyFont="1" applyFill="1"/>
    <xf numFmtId="166" fontId="17" fillId="0" borderId="0" xfId="0" applyNumberFormat="1" applyFont="1"/>
    <xf numFmtId="0" fontId="21" fillId="0" borderId="0" xfId="0" applyFont="1"/>
    <xf numFmtId="0" fontId="22" fillId="0" borderId="0" xfId="0" applyFont="1"/>
    <xf numFmtId="167" fontId="17" fillId="2" borderId="0" xfId="0" applyNumberFormat="1" applyFont="1" applyFill="1"/>
    <xf numFmtId="167" fontId="18" fillId="0" borderId="0" xfId="0" applyNumberFormat="1" applyFont="1"/>
    <xf numFmtId="0" fontId="23" fillId="3" borderId="0" xfId="0" applyFont="1" applyFill="1"/>
    <xf numFmtId="6" fontId="17" fillId="0" borderId="0" xfId="0" applyNumberFormat="1" applyFont="1"/>
    <xf numFmtId="0" fontId="17" fillId="5" borderId="0" xfId="0" applyFont="1" applyFill="1"/>
    <xf numFmtId="0" fontId="24" fillId="3" borderId="0" xfId="0" applyFont="1" applyFill="1"/>
    <xf numFmtId="167" fontId="17" fillId="0" borderId="0" xfId="0" applyNumberFormat="1" applyFont="1" applyAlignment="1">
      <alignment horizontal="left"/>
    </xf>
    <xf numFmtId="0" fontId="25" fillId="2" borderId="0" xfId="0" applyFont="1" applyFill="1"/>
    <xf numFmtId="6" fontId="17" fillId="2" borderId="0" xfId="0" applyNumberFormat="1" applyFont="1" applyFill="1"/>
    <xf numFmtId="0" fontId="24" fillId="0" borderId="0" xfId="0" applyFont="1"/>
    <xf numFmtId="169" fontId="17" fillId="5" borderId="0" xfId="0" applyNumberFormat="1" applyFont="1" applyFill="1"/>
    <xf numFmtId="164" fontId="17" fillId="5" borderId="0" xfId="0" applyNumberFormat="1" applyFont="1" applyFill="1"/>
    <xf numFmtId="167" fontId="17" fillId="5" borderId="0" xfId="0" applyNumberFormat="1" applyFont="1" applyFill="1"/>
    <xf numFmtId="166" fontId="17" fillId="5" borderId="0" xfId="0" applyNumberFormat="1" applyFont="1" applyFill="1"/>
    <xf numFmtId="0" fontId="27" fillId="0" borderId="0" xfId="0" applyFont="1"/>
    <xf numFmtId="0" fontId="17" fillId="9" borderId="0" xfId="0" applyFont="1" applyFill="1"/>
    <xf numFmtId="0" fontId="26" fillId="0" borderId="0" xfId="0" applyFont="1" applyAlignment="1">
      <alignment horizontal="left" vertical="center" wrapText="1"/>
    </xf>
    <xf numFmtId="0" fontId="18" fillId="7" borderId="0" xfId="0" applyFont="1" applyFill="1"/>
    <xf numFmtId="6" fontId="18" fillId="0" borderId="0" xfId="0" applyNumberFormat="1" applyFont="1" applyAlignment="1">
      <alignment horizontal="left"/>
    </xf>
    <xf numFmtId="168" fontId="17" fillId="4" borderId="0" xfId="0" applyNumberFormat="1" applyFont="1" applyFill="1"/>
    <xf numFmtId="164" fontId="17" fillId="4" borderId="0" xfId="0" applyNumberFormat="1" applyFont="1" applyFill="1"/>
    <xf numFmtId="167" fontId="18" fillId="0" borderId="0" xfId="0" applyNumberFormat="1" applyFont="1" applyAlignment="1">
      <alignment horizontal="left"/>
    </xf>
    <xf numFmtId="6" fontId="17" fillId="5" borderId="0" xfId="0" applyNumberFormat="1" applyFont="1" applyFill="1"/>
    <xf numFmtId="168" fontId="17" fillId="0" borderId="0" xfId="0" applyNumberFormat="1" applyFont="1"/>
    <xf numFmtId="0" fontId="17" fillId="4" borderId="0" xfId="0" applyFont="1" applyFill="1"/>
    <xf numFmtId="0" fontId="17" fillId="0" borderId="0" xfId="0" quotePrefix="1" applyFont="1"/>
    <xf numFmtId="6" fontId="17" fillId="6" borderId="0" xfId="0" applyNumberFormat="1" applyFont="1" applyFill="1"/>
    <xf numFmtId="0" fontId="17" fillId="8" borderId="0" xfId="0" applyFont="1" applyFill="1"/>
    <xf numFmtId="0" fontId="28" fillId="8" borderId="0" xfId="0" applyFont="1" applyFill="1"/>
    <xf numFmtId="0" fontId="28" fillId="0" borderId="0" xfId="0" applyFont="1" applyAlignment="1">
      <alignment horizontal="center"/>
    </xf>
    <xf numFmtId="0" fontId="29" fillId="0" borderId="0" xfId="0" applyFont="1"/>
    <xf numFmtId="16" fontId="17" fillId="0" borderId="0" xfId="0" applyNumberFormat="1" applyFont="1"/>
    <xf numFmtId="6" fontId="0" fillId="0" borderId="0" xfId="0" applyNumberFormat="1"/>
    <xf numFmtId="0" fontId="0" fillId="6" borderId="0" xfId="0" applyFill="1"/>
    <xf numFmtId="0" fontId="12" fillId="0" borderId="0" xfId="1"/>
    <xf numFmtId="0" fontId="0" fillId="9" borderId="0" xfId="0" applyFill="1"/>
    <xf numFmtId="0" fontId="11" fillId="12" borderId="0" xfId="0" applyFont="1" applyFill="1"/>
    <xf numFmtId="0" fontId="2" fillId="12" borderId="0" xfId="0" applyFont="1" applyFill="1"/>
    <xf numFmtId="0" fontId="0" fillId="0" borderId="0" xfId="0" applyAlignment="1">
      <alignment readingOrder="1"/>
    </xf>
    <xf numFmtId="0" fontId="0" fillId="8" borderId="0" xfId="0" applyFill="1"/>
    <xf numFmtId="164" fontId="0" fillId="0" borderId="0" xfId="0" applyNumberFormat="1"/>
    <xf numFmtId="170" fontId="0" fillId="0" borderId="0" xfId="0" applyNumberFormat="1"/>
    <xf numFmtId="164" fontId="17" fillId="6" borderId="0" xfId="0" applyNumberFormat="1" applyFont="1" applyFill="1"/>
    <xf numFmtId="0" fontId="12" fillId="0" borderId="0" xfId="1" applyAlignment="1">
      <alignment readingOrder="1"/>
    </xf>
    <xf numFmtId="0" fontId="21" fillId="0" borderId="0" xfId="0" applyFont="1" applyAlignment="1">
      <alignment readingOrder="1"/>
    </xf>
    <xf numFmtId="3" fontId="0" fillId="2" borderId="0" xfId="0" applyNumberFormat="1" applyFill="1"/>
    <xf numFmtId="171" fontId="17" fillId="0" borderId="0" xfId="0" applyNumberFormat="1" applyFont="1"/>
    <xf numFmtId="0" fontId="2" fillId="13" borderId="0" xfId="0" applyFont="1" applyFill="1"/>
    <xf numFmtId="172" fontId="0" fillId="2" borderId="0" xfId="0" applyNumberFormat="1" applyFill="1"/>
    <xf numFmtId="164" fontId="5" fillId="0" borderId="0" xfId="0" applyNumberFormat="1" applyFont="1"/>
    <xf numFmtId="0" fontId="5" fillId="0" borderId="0" xfId="0" applyFont="1" applyAlignment="1">
      <alignment readingOrder="1"/>
    </xf>
    <xf numFmtId="0" fontId="30" fillId="0" borderId="0" xfId="0" applyFont="1"/>
    <xf numFmtId="0" fontId="31" fillId="0" borderId="0" xfId="0" applyFont="1"/>
    <xf numFmtId="0" fontId="30" fillId="5" borderId="0" xfId="0" applyFont="1" applyFill="1"/>
    <xf numFmtId="173" fontId="0" fillId="4" borderId="0" xfId="0" applyNumberFormat="1" applyFill="1"/>
    <xf numFmtId="173" fontId="14" fillId="4" borderId="0" xfId="0" applyNumberFormat="1" applyFont="1" applyFill="1"/>
    <xf numFmtId="0" fontId="14" fillId="4" borderId="0" xfId="0" applyFont="1" applyFill="1"/>
    <xf numFmtId="0" fontId="5" fillId="0" borderId="0" xfId="0" applyFont="1" applyAlignment="1">
      <alignment horizontal="center" readingOrder="2"/>
    </xf>
    <xf numFmtId="6" fontId="14" fillId="0" borderId="0" xfId="0" applyNumberFormat="1" applyFont="1"/>
    <xf numFmtId="164" fontId="5" fillId="2" borderId="0" xfId="0" applyNumberFormat="1" applyFont="1" applyFill="1"/>
    <xf numFmtId="17" fontId="17" fillId="0" borderId="0" xfId="0" applyNumberFormat="1" applyFont="1"/>
    <xf numFmtId="171" fontId="0" fillId="0" borderId="0" xfId="0" applyNumberFormat="1"/>
    <xf numFmtId="0" fontId="0" fillId="0" borderId="0" xfId="0" quotePrefix="1"/>
    <xf numFmtId="17" fontId="0" fillId="0" borderId="0" xfId="0" applyNumberFormat="1"/>
    <xf numFmtId="6" fontId="5" fillId="0" borderId="0" xfId="0" applyNumberFormat="1" applyFont="1" applyAlignment="1">
      <alignment horizontal="right"/>
    </xf>
    <xf numFmtId="0" fontId="32" fillId="0" borderId="0" xfId="0" applyFont="1"/>
    <xf numFmtId="0" fontId="11" fillId="13" borderId="0" xfId="0" applyFont="1" applyFill="1"/>
    <xf numFmtId="3" fontId="17" fillId="0" borderId="0" xfId="0" applyNumberFormat="1" applyFont="1"/>
    <xf numFmtId="3" fontId="0" fillId="0" borderId="0" xfId="0" applyNumberFormat="1"/>
    <xf numFmtId="0" fontId="7" fillId="10" borderId="0" xfId="0" applyFont="1" applyFill="1" applyAlignment="1">
      <alignment vertical="center" wrapText="1"/>
    </xf>
    <xf numFmtId="3" fontId="5" fillId="0" borderId="0" xfId="0" applyNumberFormat="1" applyFont="1"/>
    <xf numFmtId="17" fontId="5" fillId="0" borderId="0" xfId="0" applyNumberFormat="1" applyFont="1" applyAlignment="1">
      <alignment readingOrder="2"/>
    </xf>
    <xf numFmtId="0" fontId="16" fillId="0" borderId="0" xfId="0" applyFont="1"/>
    <xf numFmtId="0" fontId="33" fillId="0" borderId="0" xfId="0" applyFont="1" applyAlignment="1">
      <alignment vertical="center"/>
    </xf>
    <xf numFmtId="0" fontId="5" fillId="0" borderId="0" xfId="0" applyFont="1" applyAlignment="1">
      <alignment horizontal="left"/>
    </xf>
    <xf numFmtId="0" fontId="17" fillId="14" borderId="0" xfId="0" applyFont="1" applyFill="1"/>
    <xf numFmtId="0" fontId="34" fillId="0" borderId="0" xfId="0" applyFont="1"/>
    <xf numFmtId="0" fontId="5" fillId="10" borderId="0" xfId="0" applyFont="1" applyFill="1"/>
    <xf numFmtId="174" fontId="17" fillId="0" borderId="0" xfId="0" applyNumberFormat="1" applyFont="1"/>
    <xf numFmtId="175" fontId="17" fillId="0" borderId="0" xfId="0" applyNumberFormat="1" applyFont="1"/>
    <xf numFmtId="169" fontId="17" fillId="0" borderId="0" xfId="0" applyNumberFormat="1" applyFont="1"/>
    <xf numFmtId="176" fontId="17" fillId="0" borderId="0" xfId="0" applyNumberFormat="1" applyFont="1"/>
    <xf numFmtId="176" fontId="17" fillId="4" borderId="0" xfId="0" applyNumberFormat="1" applyFont="1" applyFill="1"/>
    <xf numFmtId="0" fontId="10" fillId="6" borderId="0" xfId="0" applyFont="1" applyFill="1"/>
    <xf numFmtId="0" fontId="36" fillId="0" borderId="0" xfId="0" applyFont="1"/>
    <xf numFmtId="167" fontId="5" fillId="0" borderId="0" xfId="0" applyNumberFormat="1" applyFont="1"/>
    <xf numFmtId="177" fontId="17" fillId="0" borderId="0" xfId="0" applyNumberFormat="1" applyFont="1"/>
    <xf numFmtId="0" fontId="11" fillId="15" borderId="0" xfId="0" applyFont="1" applyFill="1"/>
    <xf numFmtId="0" fontId="2" fillId="15" borderId="0" xfId="0" applyFont="1" applyFill="1"/>
    <xf numFmtId="169" fontId="17" fillId="6" borderId="0" xfId="0" applyNumberFormat="1" applyFont="1" applyFill="1"/>
    <xf numFmtId="168" fontId="17" fillId="6" borderId="0" xfId="0" applyNumberFormat="1" applyFont="1" applyFill="1"/>
    <xf numFmtId="178" fontId="0" fillId="0" borderId="0" xfId="0" applyNumberFormat="1"/>
    <xf numFmtId="164" fontId="17" fillId="0" borderId="0" xfId="0" applyNumberFormat="1" applyFont="1" applyAlignment="1">
      <alignment horizontal="left"/>
    </xf>
    <xf numFmtId="174" fontId="17" fillId="2" borderId="0" xfId="0" applyNumberFormat="1" applyFont="1" applyFill="1" applyAlignment="1">
      <alignment horizontal="left"/>
    </xf>
    <xf numFmtId="174" fontId="0" fillId="0" borderId="0" xfId="0" applyNumberFormat="1"/>
    <xf numFmtId="174" fontId="0" fillId="2" borderId="0" xfId="0" applyNumberFormat="1" applyFill="1"/>
    <xf numFmtId="0" fontId="5" fillId="16" borderId="0" xfId="0" applyFont="1" applyFill="1"/>
    <xf numFmtId="0" fontId="11" fillId="17" borderId="0" xfId="0" applyFont="1" applyFill="1"/>
    <xf numFmtId="179" fontId="0" fillId="0" borderId="0" xfId="0" applyNumberFormat="1" applyAlignment="1">
      <alignment horizontal="left"/>
    </xf>
    <xf numFmtId="167" fontId="0" fillId="0" borderId="0" xfId="0" applyNumberFormat="1"/>
    <xf numFmtId="179" fontId="5" fillId="0" borderId="0" xfId="0" applyNumberFormat="1" applyFont="1" applyAlignment="1">
      <alignment horizontal="left"/>
    </xf>
    <xf numFmtId="0" fontId="3" fillId="2" borderId="0" xfId="0" applyFont="1" applyFill="1" applyAlignment="1">
      <alignment vertical="center"/>
    </xf>
    <xf numFmtId="14" fontId="0" fillId="0" borderId="0" xfId="0" applyNumberFormat="1"/>
    <xf numFmtId="0" fontId="38" fillId="0" borderId="0" xfId="0" applyFont="1"/>
    <xf numFmtId="6" fontId="5" fillId="0" borderId="0" xfId="0" applyNumberFormat="1" applyFont="1"/>
    <xf numFmtId="0" fontId="38" fillId="0" borderId="0" xfId="0" applyFont="1" applyAlignment="1">
      <alignment vertical="center"/>
    </xf>
    <xf numFmtId="0" fontId="39" fillId="0" borderId="0" xfId="0" applyFont="1"/>
    <xf numFmtId="0" fontId="40" fillId="0" borderId="0" xfId="0" applyFont="1"/>
    <xf numFmtId="174" fontId="40" fillId="0" borderId="0" xfId="0" applyNumberFormat="1" applyFont="1"/>
    <xf numFmtId="6" fontId="41" fillId="0" borderId="0" xfId="0" applyNumberFormat="1" applyFont="1"/>
    <xf numFmtId="174" fontId="10" fillId="2" borderId="0" xfId="1" applyNumberFormat="1" applyFont="1" applyFill="1" applyAlignment="1">
      <alignment readingOrder="1"/>
    </xf>
    <xf numFmtId="0" fontId="3" fillId="0" borderId="0" xfId="0" applyFont="1" applyAlignment="1">
      <alignment horizontal="justify" vertical="center" readingOrder="2"/>
    </xf>
    <xf numFmtId="0" fontId="28" fillId="0" borderId="0" xfId="0" applyFont="1"/>
    <xf numFmtId="6" fontId="41" fillId="6" borderId="0" xfId="0" applyNumberFormat="1" applyFont="1" applyFill="1"/>
    <xf numFmtId="0" fontId="1" fillId="18" borderId="0" xfId="0" applyFont="1" applyFill="1"/>
    <xf numFmtId="0" fontId="2" fillId="19" borderId="0" xfId="0" applyFont="1" applyFill="1"/>
    <xf numFmtId="0" fontId="2" fillId="20" borderId="0" xfId="0" applyFont="1" applyFill="1"/>
    <xf numFmtId="179" fontId="44" fillId="0" borderId="0" xfId="0" applyNumberFormat="1" applyFont="1" applyAlignment="1">
      <alignment horizontal="left"/>
    </xf>
    <xf numFmtId="0" fontId="17" fillId="21" borderId="0" xfId="0" applyFont="1" applyFill="1"/>
    <xf numFmtId="6" fontId="17" fillId="21" borderId="0" xfId="0" applyNumberFormat="1" applyFont="1" applyFill="1"/>
    <xf numFmtId="0" fontId="17" fillId="21" borderId="0" xfId="0" applyFont="1" applyFill="1" applyAlignment="1">
      <alignment readingOrder="1"/>
    </xf>
    <xf numFmtId="164" fontId="17" fillId="21" borderId="0" xfId="0" applyNumberFormat="1" applyFont="1" applyFill="1"/>
    <xf numFmtId="177" fontId="17" fillId="21" borderId="0" xfId="0" applyNumberFormat="1" applyFont="1" applyFill="1"/>
    <xf numFmtId="0" fontId="45" fillId="0" borderId="0" xfId="0" applyFont="1"/>
    <xf numFmtId="179" fontId="0" fillId="11" borderId="0" xfId="0" applyNumberFormat="1" applyFill="1" applyAlignment="1">
      <alignment horizontal="left"/>
    </xf>
    <xf numFmtId="174" fontId="0" fillId="11" borderId="0" xfId="0" applyNumberFormat="1" applyFill="1"/>
    <xf numFmtId="0" fontId="3" fillId="11" borderId="0" xfId="0" applyFont="1" applyFill="1" applyAlignment="1">
      <alignment vertical="center"/>
    </xf>
    <xf numFmtId="0" fontId="3" fillId="6" borderId="0" xfId="0" applyFont="1" applyFill="1" applyAlignment="1">
      <alignment vertical="center"/>
    </xf>
    <xf numFmtId="0" fontId="5" fillId="2" borderId="0" xfId="0" applyFont="1" applyFill="1"/>
    <xf numFmtId="0" fontId="40" fillId="2" borderId="0" xfId="0" applyFont="1" applyFill="1"/>
    <xf numFmtId="179" fontId="46" fillId="0" borderId="0" xfId="0" applyNumberFormat="1" applyFont="1" applyAlignment="1">
      <alignment horizontal="left"/>
    </xf>
    <xf numFmtId="0" fontId="46" fillId="0" borderId="0" xfId="0" applyFont="1" applyAlignment="1">
      <alignment horizontal="center"/>
    </xf>
    <xf numFmtId="174" fontId="46" fillId="0" borderId="0" xfId="0" applyNumberFormat="1" applyFont="1" applyAlignment="1">
      <alignment horizontal="center"/>
    </xf>
    <xf numFmtId="0" fontId="3" fillId="11" borderId="0" xfId="0" applyFont="1" applyFill="1"/>
    <xf numFmtId="6" fontId="41" fillId="2" borderId="0" xfId="0" applyNumberFormat="1" applyFont="1" applyFill="1"/>
    <xf numFmtId="6" fontId="17" fillId="0" borderId="0" xfId="0" quotePrefix="1" applyNumberFormat="1" applyFont="1"/>
    <xf numFmtId="0" fontId="2" fillId="18" borderId="0" xfId="0" applyFont="1" applyFill="1"/>
    <xf numFmtId="0" fontId="45" fillId="2" borderId="0" xfId="0" applyFont="1" applyFill="1"/>
    <xf numFmtId="0" fontId="0" fillId="22" borderId="0" xfId="0" applyFill="1"/>
    <xf numFmtId="0" fontId="47" fillId="0" borderId="0" xfId="0" applyFont="1"/>
    <xf numFmtId="0" fontId="2" fillId="13" borderId="0" xfId="0" applyFont="1" applyFill="1" applyAlignment="1">
      <alignment horizontal="left"/>
    </xf>
    <xf numFmtId="0" fontId="2" fillId="3" borderId="0" xfId="0" applyFont="1" applyFill="1" applyAlignment="1">
      <alignment horizontal="left"/>
    </xf>
    <xf numFmtId="0" fontId="2" fillId="19" borderId="0" xfId="0" applyFont="1" applyFill="1" applyAlignment="1">
      <alignment horizontal="left"/>
    </xf>
    <xf numFmtId="0" fontId="37" fillId="17" borderId="0" xfId="0" applyFont="1" applyFill="1" applyAlignment="1">
      <alignment horizontal="center" readingOrder="2"/>
    </xf>
    <xf numFmtId="0" fontId="38" fillId="17" borderId="0" xfId="0" applyFont="1" applyFill="1" applyAlignment="1">
      <alignment readingOrder="2"/>
    </xf>
    <xf numFmtId="0" fontId="2" fillId="17" borderId="0" xfId="0" applyFont="1" applyFill="1"/>
    <xf numFmtId="0" fontId="33" fillId="21" borderId="0" xfId="0" applyFont="1" applyFill="1" applyAlignment="1">
      <alignment vertical="center"/>
    </xf>
    <xf numFmtId="0" fontId="17" fillId="18" borderId="0" xfId="0" applyFont="1" applyFill="1"/>
    <xf numFmtId="6" fontId="17" fillId="18" borderId="0" xfId="0" applyNumberFormat="1" applyFont="1" applyFill="1"/>
    <xf numFmtId="16" fontId="0" fillId="0" borderId="0" xfId="0" applyNumberFormat="1"/>
    <xf numFmtId="0" fontId="26" fillId="0" borderId="0" xfId="0" applyFont="1" applyAlignment="1">
      <alignment horizontal="center" vertical="center" readingOrder="2"/>
    </xf>
    <xf numFmtId="9" fontId="17" fillId="0" borderId="0" xfId="0" applyNumberFormat="1" applyFont="1"/>
    <xf numFmtId="0" fontId="17" fillId="0" borderId="0" xfId="0" applyFont="1" applyAlignment="1">
      <alignment horizontal="right" indent="1" readingOrder="2"/>
    </xf>
    <xf numFmtId="0" fontId="48" fillId="0" borderId="0" xfId="0" applyFont="1" applyAlignment="1">
      <alignment vertical="center" wrapText="1"/>
    </xf>
    <xf numFmtId="0" fontId="49" fillId="0" borderId="0" xfId="0" applyFont="1"/>
    <xf numFmtId="0" fontId="39" fillId="0" borderId="0" xfId="0" applyFont="1" applyAlignment="1">
      <alignment vertical="center" wrapText="1"/>
    </xf>
    <xf numFmtId="0" fontId="41" fillId="0" borderId="0" xfId="0" applyFont="1"/>
    <xf numFmtId="0" fontId="50" fillId="0" borderId="0" xfId="0" applyFont="1"/>
    <xf numFmtId="0" fontId="1" fillId="21" borderId="0" xfId="0" applyFont="1" applyFill="1" applyAlignment="1">
      <alignment horizontal="left" readingOrder="1"/>
    </xf>
    <xf numFmtId="0" fontId="2" fillId="21" borderId="0" xfId="0" applyFont="1" applyFill="1" applyAlignment="1">
      <alignment horizontal="left" readingOrder="1"/>
    </xf>
    <xf numFmtId="0" fontId="13" fillId="0" borderId="0" xfId="0" applyFont="1" applyAlignment="1">
      <alignment horizontal="center"/>
    </xf>
    <xf numFmtId="0" fontId="38" fillId="0" borderId="0" xfId="0" applyFont="1" applyAlignment="1">
      <alignment horizontal="center" vertical="center"/>
    </xf>
    <xf numFmtId="0" fontId="38" fillId="21" borderId="0" xfId="0" applyFont="1" applyFill="1" applyAlignment="1">
      <alignment horizontal="center" vertical="center"/>
    </xf>
    <xf numFmtId="6" fontId="0" fillId="0" borderId="0" xfId="0" applyNumberFormat="1" applyAlignment="1">
      <alignment readingOrder="1"/>
    </xf>
    <xf numFmtId="0" fontId="1" fillId="2" borderId="0" xfId="0" applyFont="1" applyFill="1" applyAlignment="1">
      <alignment horizontal="left" readingOrder="1"/>
    </xf>
    <xf numFmtId="0" fontId="2" fillId="23" borderId="0" xfId="0" applyFont="1" applyFill="1"/>
    <xf numFmtId="0" fontId="26" fillId="0" borderId="0" xfId="0" applyFont="1" applyAlignment="1">
      <alignment horizontal="left" vertical="center" readingOrder="1"/>
    </xf>
    <xf numFmtId="0" fontId="2" fillId="3" borderId="0" xfId="0" applyFont="1" applyFill="1" applyAlignment="1">
      <alignment horizontal="left" readingOrder="1"/>
    </xf>
    <xf numFmtId="0" fontId="2" fillId="23" borderId="0" xfId="0" applyFont="1" applyFill="1" applyAlignment="1">
      <alignment horizontal="left"/>
    </xf>
    <xf numFmtId="0" fontId="1" fillId="21" borderId="0" xfId="0" applyFont="1" applyFill="1" applyAlignment="1">
      <alignment horizontal="left"/>
    </xf>
    <xf numFmtId="4" fontId="0" fillId="0" borderId="0" xfId="0" applyNumberFormat="1"/>
    <xf numFmtId="0" fontId="1" fillId="5" borderId="0" xfId="0" applyFont="1" applyFill="1" applyAlignment="1">
      <alignment horizontal="left"/>
    </xf>
    <xf numFmtId="0" fontId="2" fillId="5" borderId="0" xfId="0" applyFont="1" applyFill="1" applyAlignment="1">
      <alignment horizontal="left"/>
    </xf>
    <xf numFmtId="0" fontId="11" fillId="5" borderId="0" xfId="0" applyFont="1" applyFill="1"/>
    <xf numFmtId="0" fontId="51" fillId="0" borderId="0" xfId="0" applyFont="1" applyAlignment="1">
      <alignment horizontal="center"/>
    </xf>
    <xf numFmtId="0" fontId="38" fillId="5" borderId="0" xfId="0" applyFont="1" applyFill="1" applyAlignment="1">
      <alignment horizontal="center" vertical="center"/>
    </xf>
    <xf numFmtId="0" fontId="48" fillId="0" borderId="0" xfId="0" applyFont="1" applyAlignment="1">
      <alignment horizontal="center" vertical="center" wrapText="1"/>
    </xf>
    <xf numFmtId="0" fontId="2" fillId="17" borderId="0" xfId="0" applyFont="1" applyFill="1" applyAlignment="1">
      <alignment horizontal="left"/>
    </xf>
    <xf numFmtId="0" fontId="1" fillId="0" borderId="0" xfId="0" applyFont="1" applyAlignment="1">
      <alignment horizontal="left" readingOrder="1"/>
    </xf>
    <xf numFmtId="0" fontId="1" fillId="21" borderId="0" xfId="0" applyFont="1" applyFill="1"/>
    <xf numFmtId="0" fontId="11" fillId="17" borderId="0" xfId="0" applyFont="1" applyFill="1" applyAlignment="1">
      <alignment readingOrder="1"/>
    </xf>
    <xf numFmtId="0" fontId="38" fillId="0" borderId="0" xfId="0" applyFont="1" applyAlignment="1">
      <alignment horizontal="center" readingOrder="2"/>
    </xf>
    <xf numFmtId="0" fontId="55" fillId="0" borderId="0" xfId="0" applyFont="1" applyAlignment="1">
      <alignment horizontal="center"/>
    </xf>
    <xf numFmtId="0" fontId="3" fillId="0" borderId="0" xfId="0" applyFont="1" applyAlignment="1">
      <alignment horizontal="center" vertical="center" readingOrder="2"/>
    </xf>
    <xf numFmtId="0" fontId="56" fillId="0" borderId="0" xfId="0" applyFont="1" applyAlignment="1">
      <alignment horizontal="center" readingOrder="2"/>
    </xf>
    <xf numFmtId="0" fontId="57" fillId="0" borderId="0" xfId="0" applyFont="1" applyAlignment="1">
      <alignment horizontal="center" readingOrder="2"/>
    </xf>
    <xf numFmtId="0" fontId="55" fillId="0" borderId="0" xfId="0" applyFont="1" applyAlignment="1">
      <alignment horizontal="center" vertical="center" readingOrder="2"/>
    </xf>
    <xf numFmtId="0" fontId="58" fillId="0" borderId="0" xfId="0" applyFont="1" applyAlignment="1">
      <alignment horizontal="center" readingOrder="1"/>
    </xf>
    <xf numFmtId="0" fontId="52" fillId="0" borderId="0" xfId="0" applyFont="1" applyAlignment="1">
      <alignment horizontal="center" vertical="center" readingOrder="2"/>
    </xf>
    <xf numFmtId="0" fontId="59" fillId="0" borderId="0" xfId="0" applyFont="1" applyAlignment="1">
      <alignment horizontal="center" readingOrder="1"/>
    </xf>
    <xf numFmtId="0" fontId="1" fillId="25" borderId="0" xfId="0" applyFont="1" applyFill="1" applyAlignment="1">
      <alignment horizontal="left"/>
    </xf>
    <xf numFmtId="0" fontId="2" fillId="25" borderId="0" xfId="0" applyFont="1" applyFill="1" applyAlignment="1">
      <alignment horizontal="left"/>
    </xf>
    <xf numFmtId="0" fontId="2" fillId="25" borderId="0" xfId="0" applyFont="1" applyFill="1"/>
    <xf numFmtId="0" fontId="60" fillId="2" borderId="0" xfId="0" applyFont="1" applyFill="1"/>
    <xf numFmtId="0" fontId="11" fillId="25" borderId="0" xfId="0" applyFont="1" applyFill="1"/>
    <xf numFmtId="0" fontId="2" fillId="7" borderId="0" xfId="0" applyFont="1" applyFill="1" applyAlignment="1">
      <alignment horizontal="left"/>
    </xf>
    <xf numFmtId="0" fontId="2" fillId="26" borderId="0" xfId="0" applyFont="1" applyFill="1" applyAlignment="1">
      <alignment horizontal="left"/>
    </xf>
    <xf numFmtId="0" fontId="38" fillId="0" borderId="0" xfId="0" applyFont="1" applyAlignment="1">
      <alignment horizontal="center" vertical="center" readingOrder="2"/>
    </xf>
    <xf numFmtId="0" fontId="2" fillId="27" borderId="0" xfId="0" applyFont="1" applyFill="1" applyAlignment="1">
      <alignment horizontal="left"/>
    </xf>
    <xf numFmtId="0" fontId="63" fillId="0" borderId="0" xfId="0" applyFont="1" applyAlignment="1">
      <alignment horizontal="center" vertical="center" readingOrder="2"/>
    </xf>
    <xf numFmtId="0" fontId="2" fillId="28" borderId="0" xfId="0" applyFont="1" applyFill="1" applyAlignment="1">
      <alignment horizontal="left"/>
    </xf>
    <xf numFmtId="0" fontId="54" fillId="0" borderId="0" xfId="0" applyFont="1" applyAlignment="1">
      <alignment horizontal="center"/>
    </xf>
    <xf numFmtId="0" fontId="53" fillId="0" borderId="0" xfId="0" applyFont="1" applyAlignment="1">
      <alignment horizontal="center" readingOrder="2"/>
    </xf>
    <xf numFmtId="0" fontId="38" fillId="0" borderId="0" xfId="0" applyFont="1" applyAlignment="1">
      <alignment horizontal="center" readingOrder="1"/>
    </xf>
    <xf numFmtId="0" fontId="2" fillId="15" borderId="0" xfId="0" applyFont="1" applyFill="1" applyAlignment="1">
      <alignment horizontal="left"/>
    </xf>
    <xf numFmtId="0" fontId="2" fillId="24" borderId="0" xfId="0" applyFont="1" applyFill="1" applyAlignment="1">
      <alignment horizontal="left" readingOrder="1"/>
    </xf>
    <xf numFmtId="0" fontId="26" fillId="0" borderId="0" xfId="0" applyFont="1"/>
    <xf numFmtId="0" fontId="6" fillId="0" borderId="0" xfId="0" applyFont="1" applyAlignment="1">
      <alignment horizontal="center"/>
    </xf>
    <xf numFmtId="0" fontId="35" fillId="0" borderId="0" xfId="0" applyFont="1" applyAlignment="1">
      <alignment horizontal="center"/>
    </xf>
    <xf numFmtId="0" fontId="26" fillId="0" borderId="0" xfId="0" applyFont="1" applyAlignment="1">
      <alignment horizontal="left" vertical="center" wrapText="1"/>
    </xf>
    <xf numFmtId="0" fontId="64"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Yisrael Stilerman" id="{68D8CDD8-4E14-4BDB-A4AD-BBAEBE873B92}" userId="a923f692ec20ff08"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64" dT="2019-01-09T20:04:52.59" personId="{68D8CDD8-4E14-4BDB-A4AD-BBAEBE873B92}" id="{C0A4B733-B5FC-419E-AED3-02FECD2F2956}">
    <text>no name?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mailto:eliotklol9@gmail.com" TargetMode="External"/><Relationship Id="rId13" Type="http://schemas.openxmlformats.org/officeDocument/2006/relationships/hyperlink" Target="mailto:malky.caplon@achieve3000.com" TargetMode="External"/><Relationship Id="rId18" Type="http://schemas.openxmlformats.org/officeDocument/2006/relationships/hyperlink" Target="mailto:Avrumieheimowitz@gmail.com" TargetMode="External"/><Relationship Id="rId26" Type="http://schemas.openxmlformats.org/officeDocument/2006/relationships/hyperlink" Target="mailto:avit1121@gmail.com" TargetMode="External"/><Relationship Id="rId3" Type="http://schemas.openxmlformats.org/officeDocument/2006/relationships/hyperlink" Target="mailto:etteity@gmail.com" TargetMode="External"/><Relationship Id="rId21" Type="http://schemas.openxmlformats.org/officeDocument/2006/relationships/hyperlink" Target="mailto:Yitzysatt@gmail.com" TargetMode="External"/><Relationship Id="rId7" Type="http://schemas.openxmlformats.org/officeDocument/2006/relationships/hyperlink" Target="mailto:arsovao@gmail.com" TargetMode="External"/><Relationship Id="rId12" Type="http://schemas.openxmlformats.org/officeDocument/2006/relationships/hyperlink" Target="mailto:yitzygoldstein@gmail.com" TargetMode="External"/><Relationship Id="rId17" Type="http://schemas.openxmlformats.org/officeDocument/2006/relationships/hyperlink" Target="mailto:azsimons89@gmail.com" TargetMode="External"/><Relationship Id="rId25" Type="http://schemas.openxmlformats.org/officeDocument/2006/relationships/hyperlink" Target="mailto:shlomo2414@gmail.com" TargetMode="External"/><Relationship Id="rId2" Type="http://schemas.openxmlformats.org/officeDocument/2006/relationships/hyperlink" Target="mailto:yitzfromo@gmail.com" TargetMode="External"/><Relationship Id="rId16" Type="http://schemas.openxmlformats.org/officeDocument/2006/relationships/hyperlink" Target="mailto:elinoble2@gmail.com" TargetMode="External"/><Relationship Id="rId20" Type="http://schemas.openxmlformats.org/officeDocument/2006/relationships/hyperlink" Target="mailto:joshrothb@gmail.com" TargetMode="External"/><Relationship Id="rId29" Type="http://schemas.openxmlformats.org/officeDocument/2006/relationships/vmlDrawing" Target="../drawings/vmlDrawing1.vml"/><Relationship Id="rId1" Type="http://schemas.openxmlformats.org/officeDocument/2006/relationships/hyperlink" Target="mailto:elilevin@outlook.com" TargetMode="External"/><Relationship Id="rId6" Type="http://schemas.openxmlformats.org/officeDocument/2006/relationships/hyperlink" Target="mailto:abrahamehrenreich@gmail.com" TargetMode="External"/><Relationship Id="rId11" Type="http://schemas.openxmlformats.org/officeDocument/2006/relationships/hyperlink" Target="mailto:tuviagreenberg@gmail.com" TargetMode="External"/><Relationship Id="rId24" Type="http://schemas.openxmlformats.org/officeDocument/2006/relationships/hyperlink" Target="mailto:4goldboys@gmail.com" TargetMode="External"/><Relationship Id="rId32" Type="http://schemas.microsoft.com/office/2017/10/relationships/threadedComment" Target="../threadedComments/threadedComment1.xml"/><Relationship Id="rId5" Type="http://schemas.openxmlformats.org/officeDocument/2006/relationships/hyperlink" Target="mailto:mjosowitz@gmail.com" TargetMode="External"/><Relationship Id="rId15" Type="http://schemas.openxmlformats.org/officeDocument/2006/relationships/hyperlink" Target="mailto:aich.areio@gmail.com" TargetMode="External"/><Relationship Id="rId23" Type="http://schemas.openxmlformats.org/officeDocument/2006/relationships/hyperlink" Target="mailto:samkfeld@gmail.com" TargetMode="External"/><Relationship Id="rId28" Type="http://schemas.openxmlformats.org/officeDocument/2006/relationships/printerSettings" Target="../printerSettings/printerSettings3.bin"/><Relationship Id="rId10" Type="http://schemas.openxmlformats.org/officeDocument/2006/relationships/hyperlink" Target="mailto:azwagschal@gmail.com" TargetMode="External"/><Relationship Id="rId19" Type="http://schemas.openxmlformats.org/officeDocument/2006/relationships/hyperlink" Target="mailto:tzvih1111@gmail.com" TargetMode="External"/><Relationship Id="rId4" Type="http://schemas.openxmlformats.org/officeDocument/2006/relationships/hyperlink" Target="mailto:moshevinitsky@yahoo.com" TargetMode="External"/><Relationship Id="rId9" Type="http://schemas.openxmlformats.org/officeDocument/2006/relationships/hyperlink" Target="mailto:matsherer@yahoo.com" TargetMode="External"/><Relationship Id="rId14" Type="http://schemas.openxmlformats.org/officeDocument/2006/relationships/hyperlink" Target="mailto:shosheff85@gmail" TargetMode="External"/><Relationship Id="rId22" Type="http://schemas.openxmlformats.org/officeDocument/2006/relationships/hyperlink" Target="mailto:zevmklein@gmail.com" TargetMode="External"/><Relationship Id="rId27" Type="http://schemas.openxmlformats.org/officeDocument/2006/relationships/hyperlink" Target="mailto:Joel.lifshitz@gmail.com" TargetMode="External"/><Relationship Id="rId30"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43"/>
  <sheetViews>
    <sheetView tabSelected="1" zoomScale="60" zoomScaleNormal="60" workbookViewId="0">
      <pane xSplit="2" topLeftCell="C1" activePane="topRight" state="frozen"/>
      <selection pane="topRight" activeCell="C3" sqref="C3"/>
    </sheetView>
  </sheetViews>
  <sheetFormatPr defaultRowHeight="16.5" customHeight="1"/>
  <cols>
    <col min="1" max="1" width="6.1796875" style="2" customWidth="1"/>
    <col min="2" max="2" width="62.36328125" customWidth="1"/>
    <col min="3" max="3" width="35.26953125" customWidth="1"/>
    <col min="4" max="4" width="5.36328125" customWidth="1"/>
    <col min="5" max="5" width="35.54296875" customWidth="1"/>
    <col min="6" max="6" width="5.26953125" customWidth="1"/>
    <col min="7" max="7" width="35.453125" customWidth="1"/>
    <col min="8" max="8" width="4.7265625" customWidth="1"/>
    <col min="9" max="9" width="27.6328125" customWidth="1"/>
    <col min="10" max="10" width="4.7265625" customWidth="1"/>
    <col min="11" max="11" width="26.08984375" customWidth="1"/>
    <col min="12" max="12" width="4.6328125" customWidth="1"/>
    <col min="13" max="13" width="35.54296875" customWidth="1"/>
    <col min="14" max="14" width="4.6328125" customWidth="1"/>
    <col min="15" max="15" width="27.81640625" customWidth="1"/>
    <col min="16" max="16" width="4.6328125" customWidth="1"/>
    <col min="17" max="17" width="27" customWidth="1"/>
    <col min="18" max="18" width="4.6328125" customWidth="1"/>
    <col min="19" max="19" width="29.26953125" customWidth="1"/>
    <col min="20" max="20" width="8.7265625" customWidth="1"/>
  </cols>
  <sheetData>
    <row r="1" spans="1:19" s="70" customFormat="1" ht="16.5" customHeight="1">
      <c r="C1" s="251" t="s">
        <v>2008</v>
      </c>
      <c r="E1" s="251" t="s">
        <v>2009</v>
      </c>
      <c r="G1" s="251" t="s">
        <v>2010</v>
      </c>
      <c r="I1" s="251" t="s">
        <v>2011</v>
      </c>
      <c r="K1" s="251" t="s">
        <v>2012</v>
      </c>
      <c r="M1" s="251" t="s">
        <v>2013</v>
      </c>
      <c r="O1" s="251" t="s">
        <v>2014</v>
      </c>
      <c r="Q1" s="251" t="s">
        <v>2015</v>
      </c>
      <c r="S1" s="251" t="s">
        <v>2016</v>
      </c>
    </row>
    <row r="2" spans="1:19" ht="16.5" customHeight="1">
      <c r="C2" s="12" t="s">
        <v>2032</v>
      </c>
      <c r="D2" s="7"/>
      <c r="E2" s="12" t="s">
        <v>2033</v>
      </c>
      <c r="G2" s="12" t="s">
        <v>2034</v>
      </c>
      <c r="H2" s="12"/>
      <c r="I2" s="12" t="s">
        <v>2035</v>
      </c>
      <c r="J2" s="7"/>
      <c r="K2" s="12" t="s">
        <v>2036</v>
      </c>
      <c r="L2" s="7"/>
      <c r="M2" s="12" t="s">
        <v>2037</v>
      </c>
      <c r="N2" s="12"/>
      <c r="O2" s="12" t="s">
        <v>2038</v>
      </c>
      <c r="P2" s="2"/>
      <c r="Q2" s="12" t="s">
        <v>2039</v>
      </c>
      <c r="R2" s="2"/>
    </row>
    <row r="3" spans="1:19" ht="16.5" customHeight="1">
      <c r="A3" s="2">
        <v>1</v>
      </c>
      <c r="B3" s="20" t="s">
        <v>254</v>
      </c>
      <c r="C3" s="15" t="s">
        <v>7</v>
      </c>
      <c r="D3" s="2"/>
      <c r="E3" s="78" t="s">
        <v>1654</v>
      </c>
      <c r="F3" s="2"/>
      <c r="G3" s="13" t="s">
        <v>354</v>
      </c>
      <c r="H3" s="2"/>
      <c r="I3" s="156" t="s">
        <v>1569</v>
      </c>
      <c r="J3" s="2"/>
      <c r="K3" s="199" t="s">
        <v>1343</v>
      </c>
      <c r="L3" s="2"/>
      <c r="M3" s="236" t="s">
        <v>1885</v>
      </c>
      <c r="N3" s="2"/>
      <c r="O3" s="237" t="s">
        <v>1824</v>
      </c>
      <c r="P3" s="2"/>
      <c r="Q3" s="245" t="s">
        <v>1962</v>
      </c>
      <c r="R3" s="2"/>
      <c r="S3" s="184"/>
    </row>
    <row r="4" spans="1:19" ht="16.5" customHeight="1">
      <c r="A4" s="2">
        <v>2</v>
      </c>
      <c r="B4" s="20" t="s">
        <v>255</v>
      </c>
      <c r="C4" s="15" t="s">
        <v>637</v>
      </c>
      <c r="D4" s="2"/>
      <c r="E4" s="88" t="s">
        <v>2</v>
      </c>
      <c r="F4" s="2"/>
      <c r="G4" s="13" t="s">
        <v>19</v>
      </c>
      <c r="H4" s="2"/>
      <c r="I4" s="156" t="s">
        <v>1339</v>
      </c>
      <c r="J4" s="2"/>
      <c r="K4" s="246" t="s">
        <v>1993</v>
      </c>
      <c r="L4" s="2"/>
      <c r="M4" s="212" t="s">
        <v>1825</v>
      </c>
      <c r="N4" s="2"/>
      <c r="O4" s="231" t="s">
        <v>1942</v>
      </c>
      <c r="P4" s="2"/>
      <c r="Q4" s="245" t="s">
        <v>1969</v>
      </c>
      <c r="R4" s="2"/>
      <c r="S4" s="184"/>
    </row>
    <row r="5" spans="1:19" ht="16.5" customHeight="1">
      <c r="A5" s="2">
        <v>3</v>
      </c>
      <c r="B5" s="20" t="s">
        <v>326</v>
      </c>
      <c r="C5" s="15" t="s">
        <v>617</v>
      </c>
      <c r="D5" s="2"/>
      <c r="E5" s="181" t="s">
        <v>1550</v>
      </c>
      <c r="F5" s="2"/>
      <c r="G5" s="208" t="s">
        <v>1750</v>
      </c>
      <c r="H5" s="2"/>
      <c r="I5" s="156" t="s">
        <v>1607</v>
      </c>
      <c r="J5" s="2"/>
      <c r="K5" s="199" t="s">
        <v>1996</v>
      </c>
      <c r="L5" s="2"/>
      <c r="M5" s="212" t="s">
        <v>1826</v>
      </c>
      <c r="N5" s="2"/>
      <c r="O5" s="231" t="s">
        <v>1887</v>
      </c>
      <c r="P5" s="2"/>
      <c r="Q5" s="245" t="s">
        <v>1972</v>
      </c>
      <c r="R5" s="2"/>
      <c r="S5" s="184"/>
    </row>
    <row r="6" spans="1:19" ht="16.5" customHeight="1">
      <c r="A6" s="2">
        <v>4</v>
      </c>
      <c r="B6" s="20" t="s">
        <v>327</v>
      </c>
      <c r="C6" s="6" t="s">
        <v>220</v>
      </c>
      <c r="D6" s="2"/>
      <c r="E6" s="88" t="s">
        <v>928</v>
      </c>
      <c r="F6" s="2"/>
      <c r="G6" s="13" t="s">
        <v>1752</v>
      </c>
      <c r="H6" s="2"/>
      <c r="I6" s="156" t="s">
        <v>1319</v>
      </c>
      <c r="J6" s="2"/>
      <c r="K6" s="199" t="s">
        <v>1748</v>
      </c>
      <c r="L6" s="2"/>
      <c r="M6" s="212" t="s">
        <v>1871</v>
      </c>
      <c r="N6" s="2"/>
      <c r="O6" s="231" t="s">
        <v>1928</v>
      </c>
      <c r="P6" s="2"/>
      <c r="Q6" s="245" t="s">
        <v>1973</v>
      </c>
      <c r="R6" s="2"/>
      <c r="S6" s="184"/>
    </row>
    <row r="7" spans="1:19" ht="16.5" customHeight="1">
      <c r="A7" s="2">
        <v>5</v>
      </c>
      <c r="B7" s="20" t="s">
        <v>328</v>
      </c>
      <c r="C7" s="6" t="s">
        <v>780</v>
      </c>
      <c r="D7" s="2"/>
      <c r="E7" s="88" t="s">
        <v>1</v>
      </c>
      <c r="F7" s="2"/>
      <c r="G7" s="13" t="s">
        <v>1882</v>
      </c>
      <c r="H7" s="2"/>
      <c r="I7" s="157" t="s">
        <v>1950</v>
      </c>
      <c r="J7" s="2"/>
      <c r="K7" s="199" t="s">
        <v>1751</v>
      </c>
      <c r="L7" s="2"/>
      <c r="M7" s="212" t="s">
        <v>1868</v>
      </c>
      <c r="N7" s="2"/>
      <c r="O7" s="239" t="s">
        <v>1224</v>
      </c>
      <c r="Q7" s="129" t="s">
        <v>1961</v>
      </c>
      <c r="S7" s="186"/>
    </row>
    <row r="8" spans="1:19" ht="16.5" customHeight="1">
      <c r="A8" s="2">
        <v>6</v>
      </c>
      <c r="B8" s="20" t="s">
        <v>324</v>
      </c>
      <c r="C8" s="1" t="s">
        <v>1956</v>
      </c>
      <c r="D8" s="2"/>
      <c r="E8" s="88" t="s">
        <v>423</v>
      </c>
      <c r="F8" s="2"/>
      <c r="G8" s="182" t="s">
        <v>625</v>
      </c>
      <c r="H8" s="2"/>
      <c r="I8" s="177" t="s">
        <v>1551</v>
      </c>
      <c r="J8" s="2"/>
      <c r="K8" s="199" t="s">
        <v>1869</v>
      </c>
      <c r="L8" s="2"/>
      <c r="M8" s="212" t="s">
        <v>1717</v>
      </c>
      <c r="N8" s="2"/>
      <c r="O8" s="233" t="s">
        <v>2029</v>
      </c>
      <c r="Q8" s="245" t="s">
        <v>1994</v>
      </c>
      <c r="R8" s="2"/>
      <c r="S8" s="186" t="s">
        <v>2030</v>
      </c>
    </row>
    <row r="9" spans="1:19" ht="16.5" customHeight="1">
      <c r="A9" s="2">
        <v>7</v>
      </c>
      <c r="B9" s="20" t="s">
        <v>325</v>
      </c>
      <c r="C9" s="219" t="s">
        <v>1851</v>
      </c>
      <c r="D9" s="2"/>
      <c r="E9" s="107" t="s">
        <v>1570</v>
      </c>
      <c r="F9" s="2"/>
      <c r="G9" s="205" t="s">
        <v>1756</v>
      </c>
      <c r="H9" s="2"/>
      <c r="I9" s="157" t="s">
        <v>1642</v>
      </c>
      <c r="J9" s="2"/>
      <c r="K9" s="199" t="s">
        <v>1742</v>
      </c>
      <c r="L9" s="2"/>
      <c r="M9" s="213" t="s">
        <v>1898</v>
      </c>
      <c r="N9" s="2"/>
      <c r="O9" s="231" t="s">
        <v>1888</v>
      </c>
      <c r="P9" s="2"/>
      <c r="Q9" s="129" t="s">
        <v>1893</v>
      </c>
      <c r="R9" s="2"/>
      <c r="S9" s="184"/>
    </row>
    <row r="10" spans="1:19" ht="16.5" customHeight="1">
      <c r="A10" s="2">
        <v>8</v>
      </c>
      <c r="B10" s="20" t="s">
        <v>329</v>
      </c>
      <c r="C10" s="6" t="s">
        <v>1340</v>
      </c>
      <c r="D10" s="2"/>
      <c r="E10" s="88" t="s">
        <v>17</v>
      </c>
      <c r="F10" s="2"/>
      <c r="G10" s="13" t="s">
        <v>292</v>
      </c>
      <c r="H10" s="2"/>
      <c r="I10" s="156" t="s">
        <v>291</v>
      </c>
      <c r="J10" s="2"/>
      <c r="K10" s="199" t="s">
        <v>1872</v>
      </c>
      <c r="L10" s="2"/>
      <c r="M10" s="212" t="s">
        <v>1827</v>
      </c>
      <c r="N10" s="2"/>
      <c r="O10" s="231" t="s">
        <v>1883</v>
      </c>
      <c r="P10" s="2"/>
      <c r="Q10" s="129" t="s">
        <v>1970</v>
      </c>
      <c r="R10" s="2"/>
      <c r="S10" s="138"/>
    </row>
    <row r="11" spans="1:19" ht="16.5" customHeight="1">
      <c r="A11" s="2">
        <v>9</v>
      </c>
      <c r="B11" s="20" t="s">
        <v>330</v>
      </c>
      <c r="C11" s="6" t="s">
        <v>929</v>
      </c>
      <c r="D11" s="2"/>
      <c r="E11" s="107" t="s">
        <v>11</v>
      </c>
      <c r="F11" s="2"/>
      <c r="G11" s="16" t="s">
        <v>665</v>
      </c>
      <c r="H11" s="2"/>
      <c r="I11" s="156" t="s">
        <v>1341</v>
      </c>
      <c r="J11" s="2"/>
      <c r="K11" s="199" t="s">
        <v>1741</v>
      </c>
      <c r="L11" s="2"/>
      <c r="M11" s="212" t="s">
        <v>1829</v>
      </c>
      <c r="N11" s="2"/>
      <c r="O11" s="231" t="s">
        <v>1889</v>
      </c>
      <c r="P11" s="2"/>
      <c r="Q11" s="129" t="s">
        <v>5</v>
      </c>
      <c r="R11" s="2"/>
      <c r="S11" s="138" t="s">
        <v>2027</v>
      </c>
    </row>
    <row r="12" spans="1:19" ht="16.5" customHeight="1">
      <c r="A12" s="2">
        <v>10</v>
      </c>
      <c r="B12" s="20" t="s">
        <v>331</v>
      </c>
      <c r="C12" s="15" t="s">
        <v>873</v>
      </c>
      <c r="D12" s="2"/>
      <c r="E12" s="88" t="s">
        <v>4</v>
      </c>
      <c r="F12" s="2"/>
      <c r="G12" s="16" t="s">
        <v>571</v>
      </c>
      <c r="H12" s="2"/>
      <c r="I12" s="183" t="s">
        <v>1933</v>
      </c>
      <c r="J12" s="2"/>
      <c r="K12" s="220" t="s">
        <v>1840</v>
      </c>
      <c r="L12" s="2"/>
      <c r="M12" s="214" t="s">
        <v>1852</v>
      </c>
      <c r="N12" s="2"/>
      <c r="O12" s="231" t="s">
        <v>1947</v>
      </c>
      <c r="P12" s="2"/>
      <c r="Q12" s="128" t="s">
        <v>1968</v>
      </c>
      <c r="R12" s="2"/>
      <c r="S12" s="138" t="s">
        <v>2026</v>
      </c>
    </row>
    <row r="13" spans="1:19" ht="16.5" customHeight="1">
      <c r="A13" s="2">
        <v>11</v>
      </c>
      <c r="B13" s="20" t="s">
        <v>332</v>
      </c>
      <c r="C13" s="9" t="s">
        <v>1784</v>
      </c>
      <c r="D13" s="2"/>
      <c r="E13" s="77" t="s">
        <v>30</v>
      </c>
      <c r="F13" s="2"/>
      <c r="G13" s="13" t="s">
        <v>1168</v>
      </c>
      <c r="H13" s="12"/>
      <c r="I13" s="156" t="s">
        <v>1758</v>
      </c>
      <c r="J13" s="2"/>
      <c r="K13" s="210" t="s">
        <v>1800</v>
      </c>
      <c r="L13" s="2"/>
      <c r="M13" s="212" t="s">
        <v>2002</v>
      </c>
      <c r="N13" s="2"/>
      <c r="O13" s="231" t="s">
        <v>1892</v>
      </c>
      <c r="P13" s="2"/>
      <c r="Q13" s="245" t="s">
        <v>1963</v>
      </c>
      <c r="R13" s="2"/>
      <c r="S13" s="184"/>
    </row>
    <row r="14" spans="1:19" ht="16.5" customHeight="1">
      <c r="A14" s="2">
        <v>12</v>
      </c>
      <c r="B14" s="20" t="s">
        <v>333</v>
      </c>
      <c r="C14" s="6" t="s">
        <v>596</v>
      </c>
      <c r="D14" s="12"/>
      <c r="E14" s="88" t="s">
        <v>15</v>
      </c>
      <c r="F14" s="2"/>
      <c r="G14" s="16" t="s">
        <v>1744</v>
      </c>
      <c r="H14" s="2"/>
      <c r="I14" s="155" t="s">
        <v>1831</v>
      </c>
      <c r="J14" s="2"/>
      <c r="K14" s="199" t="s">
        <v>1764</v>
      </c>
      <c r="L14" s="2"/>
      <c r="M14" s="212" t="s">
        <v>1870</v>
      </c>
      <c r="N14" s="2"/>
      <c r="O14" s="231" t="s">
        <v>1891</v>
      </c>
      <c r="P14" s="2"/>
      <c r="Q14" s="245" t="s">
        <v>1987</v>
      </c>
      <c r="R14" s="2"/>
      <c r="S14" s="184"/>
    </row>
    <row r="15" spans="1:19" ht="16.5" customHeight="1">
      <c r="A15" s="2">
        <v>13</v>
      </c>
      <c r="B15" s="20" t="s">
        <v>1641</v>
      </c>
      <c r="C15" s="15" t="s">
        <v>10</v>
      </c>
      <c r="D15" s="2"/>
      <c r="E15" s="107" t="s">
        <v>1807</v>
      </c>
      <c r="F15" s="2"/>
      <c r="G15" s="10" t="s">
        <v>13</v>
      </c>
      <c r="H15" s="2"/>
      <c r="I15" s="156" t="s">
        <v>1176</v>
      </c>
      <c r="J15" s="2"/>
      <c r="K15" s="209" t="s">
        <v>1757</v>
      </c>
      <c r="L15" s="2"/>
      <c r="M15" s="212" t="s">
        <v>1842</v>
      </c>
      <c r="N15" s="2"/>
      <c r="O15" s="231" t="s">
        <v>1886</v>
      </c>
      <c r="P15" s="12"/>
      <c r="Q15" s="241" t="s">
        <v>12</v>
      </c>
      <c r="R15" s="2"/>
      <c r="S15" s="186"/>
    </row>
    <row r="16" spans="1:19" ht="16.5" customHeight="1">
      <c r="A16" s="2">
        <v>14</v>
      </c>
      <c r="B16" s="20" t="s">
        <v>334</v>
      </c>
      <c r="C16" s="6" t="s">
        <v>16</v>
      </c>
      <c r="D16" s="12"/>
      <c r="E16" s="88" t="s">
        <v>6</v>
      </c>
      <c r="F16" s="2"/>
      <c r="G16" s="13" t="s">
        <v>843</v>
      </c>
      <c r="H16" s="2"/>
      <c r="I16" s="156" t="s">
        <v>1320</v>
      </c>
      <c r="J16" s="12"/>
      <c r="K16" s="200" t="s">
        <v>1749</v>
      </c>
      <c r="L16" s="12"/>
      <c r="M16" s="213" t="s">
        <v>1830</v>
      </c>
      <c r="N16" s="12"/>
      <c r="O16" s="232" t="s">
        <v>1910</v>
      </c>
      <c r="P16" s="2"/>
      <c r="Q16" s="245" t="s">
        <v>1971</v>
      </c>
      <c r="R16" s="2"/>
      <c r="S16" s="218" t="s">
        <v>2031</v>
      </c>
    </row>
    <row r="17" spans="1:19" ht="16.5" customHeight="1">
      <c r="A17" s="2">
        <v>15</v>
      </c>
      <c r="B17" s="20" t="s">
        <v>378</v>
      </c>
      <c r="C17" s="15" t="s">
        <v>1344</v>
      </c>
      <c r="D17" s="2"/>
      <c r="E17" s="107" t="s">
        <v>196</v>
      </c>
      <c r="F17" s="2"/>
      <c r="G17" s="16" t="s">
        <v>1949</v>
      </c>
      <c r="H17" s="2"/>
      <c r="I17" s="156" t="s">
        <v>1988</v>
      </c>
      <c r="J17" s="12"/>
      <c r="K17" s="199" t="s">
        <v>1718</v>
      </c>
      <c r="L17" s="2"/>
      <c r="M17" s="212" t="s">
        <v>9</v>
      </c>
      <c r="N17" s="2"/>
      <c r="O17" s="235" t="s">
        <v>1552</v>
      </c>
      <c r="P17" s="2"/>
      <c r="Q17" s="129" t="s">
        <v>1965</v>
      </c>
      <c r="R17" s="2"/>
      <c r="S17" s="221" t="s">
        <v>2025</v>
      </c>
    </row>
    <row r="18" spans="1:19" ht="16.5" customHeight="1">
      <c r="A18" s="2">
        <v>16</v>
      </c>
      <c r="B18" s="20" t="s">
        <v>1639</v>
      </c>
      <c r="C18" s="6" t="s">
        <v>616</v>
      </c>
      <c r="D18" s="2"/>
      <c r="E18" s="88" t="s">
        <v>18</v>
      </c>
      <c r="F18" s="12"/>
      <c r="G18" s="13" t="s">
        <v>1342</v>
      </c>
      <c r="H18" s="2"/>
      <c r="I18" s="156" t="s">
        <v>387</v>
      </c>
      <c r="J18" s="12"/>
      <c r="K18" s="206" t="s">
        <v>387</v>
      </c>
      <c r="L18" s="2"/>
      <c r="M18" s="213" t="s">
        <v>1911</v>
      </c>
      <c r="N18" s="2"/>
      <c r="O18" s="232" t="s">
        <v>1643</v>
      </c>
      <c r="P18" s="2"/>
      <c r="Q18" s="129" t="s">
        <v>1964</v>
      </c>
      <c r="R18" s="2"/>
      <c r="S18" s="185"/>
    </row>
    <row r="19" spans="1:19" ht="16.5" customHeight="1">
      <c r="A19" s="2">
        <v>17</v>
      </c>
      <c r="B19" s="20" t="s">
        <v>1609</v>
      </c>
      <c r="C19" s="6" t="s">
        <v>0</v>
      </c>
      <c r="D19" s="2"/>
      <c r="E19" s="88" t="s">
        <v>8</v>
      </c>
      <c r="F19" s="12"/>
      <c r="G19" s="13" t="s">
        <v>618</v>
      </c>
      <c r="H19" s="2"/>
      <c r="I19" s="156" t="s">
        <v>1839</v>
      </c>
      <c r="J19" s="2"/>
      <c r="K19" s="206" t="s">
        <v>1997</v>
      </c>
      <c r="L19" s="2"/>
      <c r="M19" s="212" t="s">
        <v>1912</v>
      </c>
      <c r="N19" s="2"/>
      <c r="O19" s="231" t="s">
        <v>1122</v>
      </c>
      <c r="P19" s="2"/>
      <c r="Q19" s="245" t="s">
        <v>1966</v>
      </c>
      <c r="R19" s="2"/>
      <c r="S19" s="184"/>
    </row>
    <row r="20" spans="1:19" ht="16.5" customHeight="1">
      <c r="A20" s="2">
        <v>18</v>
      </c>
      <c r="B20" s="20" t="s">
        <v>1640</v>
      </c>
      <c r="C20" s="6" t="s">
        <v>1345</v>
      </c>
      <c r="D20" s="2"/>
      <c r="E20" s="88" t="s">
        <v>3</v>
      </c>
      <c r="F20" s="12"/>
      <c r="G20" s="16" t="s">
        <v>350</v>
      </c>
      <c r="H20" s="2"/>
      <c r="I20" s="177" t="s">
        <v>1653</v>
      </c>
      <c r="J20" s="2"/>
      <c r="K20" s="199" t="s">
        <v>2003</v>
      </c>
      <c r="L20" s="2"/>
      <c r="M20" s="212" t="s">
        <v>1828</v>
      </c>
      <c r="N20" s="2"/>
      <c r="O20" s="231" t="s">
        <v>1884</v>
      </c>
      <c r="P20" s="2"/>
      <c r="Q20" s="245" t="s">
        <v>1967</v>
      </c>
      <c r="R20" s="2"/>
      <c r="S20" s="184"/>
    </row>
    <row r="21" spans="1:19" ht="16.5" customHeight="1">
      <c r="B21" s="22"/>
      <c r="C21" s="228" t="s">
        <v>1773</v>
      </c>
      <c r="D21" s="2"/>
      <c r="E21" s="228" t="s">
        <v>1773</v>
      </c>
      <c r="G21" s="228" t="s">
        <v>1773</v>
      </c>
      <c r="H21" s="2"/>
      <c r="I21" s="225" t="s">
        <v>1819</v>
      </c>
      <c r="K21" s="230" t="s">
        <v>1773</v>
      </c>
      <c r="M21" s="225" t="s">
        <v>1819</v>
      </c>
      <c r="O21" s="230" t="s">
        <v>1773</v>
      </c>
      <c r="P21" s="2"/>
      <c r="Q21" s="230" t="s">
        <v>1773</v>
      </c>
      <c r="S21" s="230" t="s">
        <v>1773</v>
      </c>
    </row>
    <row r="22" spans="1:19" ht="16.5" customHeight="1">
      <c r="B22" s="194"/>
      <c r="C22" s="223" t="s">
        <v>1774</v>
      </c>
      <c r="D22" s="2"/>
      <c r="E22" s="227" t="s">
        <v>1774</v>
      </c>
      <c r="G22" s="227" t="s">
        <v>1774</v>
      </c>
      <c r="H22" s="7"/>
      <c r="I22" s="226" t="s">
        <v>1860</v>
      </c>
      <c r="J22" s="5"/>
      <c r="K22" s="223" t="s">
        <v>2006</v>
      </c>
      <c r="L22" s="5"/>
      <c r="M22" s="223" t="s">
        <v>2028</v>
      </c>
      <c r="N22" s="5"/>
      <c r="O22" s="243" t="s">
        <v>2023</v>
      </c>
      <c r="P22" s="2"/>
      <c r="Q22" s="249" t="s">
        <v>2000</v>
      </c>
      <c r="S22" s="226" t="s">
        <v>692</v>
      </c>
    </row>
    <row r="23" spans="1:19" ht="16.5" customHeight="1">
      <c r="B23" s="22"/>
      <c r="C23" s="224" t="s">
        <v>2017</v>
      </c>
      <c r="E23" s="227" t="s">
        <v>1775</v>
      </c>
      <c r="G23" s="227" t="s">
        <v>1775</v>
      </c>
      <c r="K23" s="2" t="s">
        <v>2007</v>
      </c>
      <c r="M23" s="2"/>
      <c r="O23" s="244"/>
      <c r="P23" s="2"/>
      <c r="Q23" s="249" t="s">
        <v>2001</v>
      </c>
      <c r="S23" s="226" t="s">
        <v>693</v>
      </c>
    </row>
    <row r="24" spans="1:19" ht="16.5" customHeight="1">
      <c r="B24" s="195"/>
      <c r="C24" s="240" t="s">
        <v>1836</v>
      </c>
      <c r="E24" s="227" t="s">
        <v>1776</v>
      </c>
      <c r="G24" s="227" t="s">
        <v>1794</v>
      </c>
      <c r="K24" s="98"/>
      <c r="P24" s="2"/>
      <c r="Q24" s="98"/>
      <c r="S24" s="186" t="s">
        <v>2030</v>
      </c>
    </row>
    <row r="25" spans="1:19" ht="16.5" customHeight="1">
      <c r="B25" s="22"/>
      <c r="C25" s="224" t="s">
        <v>2018</v>
      </c>
      <c r="E25" s="227" t="s">
        <v>1777</v>
      </c>
      <c r="G25" s="227" t="s">
        <v>1779</v>
      </c>
      <c r="P25" s="2"/>
      <c r="S25" s="221" t="s">
        <v>2025</v>
      </c>
    </row>
    <row r="26" spans="1:19" ht="16.5" customHeight="1">
      <c r="B26" s="22"/>
      <c r="C26" s="240" t="s">
        <v>1837</v>
      </c>
      <c r="E26" s="227" t="s">
        <v>1778</v>
      </c>
      <c r="G26" s="227" t="s">
        <v>1780</v>
      </c>
      <c r="K26" s="247"/>
      <c r="P26" s="2"/>
    </row>
    <row r="27" spans="1:19" ht="16.5" customHeight="1">
      <c r="C27" s="224" t="s">
        <v>2024</v>
      </c>
      <c r="E27" s="227" t="s">
        <v>1999</v>
      </c>
      <c r="G27" s="227" t="s">
        <v>1781</v>
      </c>
      <c r="P27" s="2"/>
      <c r="S27" s="230" t="s">
        <v>1773</v>
      </c>
    </row>
    <row r="28" spans="1:19" ht="16.5" customHeight="1">
      <c r="B28" s="22"/>
      <c r="C28" s="240" t="s">
        <v>1838</v>
      </c>
      <c r="E28" s="224" t="s">
        <v>2017</v>
      </c>
      <c r="G28" s="238" t="s">
        <v>2017</v>
      </c>
      <c r="P28" s="2"/>
      <c r="S28" s="226" t="s">
        <v>1932</v>
      </c>
    </row>
    <row r="29" spans="1:19" ht="16.5" customHeight="1">
      <c r="B29" s="22"/>
      <c r="C29" s="225" t="s">
        <v>1819</v>
      </c>
      <c r="E29" s="240" t="s">
        <v>1836</v>
      </c>
      <c r="G29" s="240" t="s">
        <v>1836</v>
      </c>
      <c r="P29" s="2"/>
      <c r="S29" s="138" t="s">
        <v>2027</v>
      </c>
    </row>
    <row r="30" spans="1:19" ht="16.5" customHeight="1">
      <c r="B30" s="22"/>
      <c r="C30" s="226" t="s">
        <v>1859</v>
      </c>
      <c r="E30" s="224" t="s">
        <v>2018</v>
      </c>
      <c r="G30" s="238" t="s">
        <v>2018</v>
      </c>
      <c r="P30" s="2"/>
    </row>
    <row r="31" spans="1:19" ht="16.5" customHeight="1">
      <c r="B31" s="22"/>
      <c r="C31" s="226" t="s">
        <v>1860</v>
      </c>
      <c r="E31" s="240" t="s">
        <v>1837</v>
      </c>
      <c r="G31" s="240" t="s">
        <v>1837</v>
      </c>
      <c r="P31" s="2"/>
      <c r="S31" s="230" t="s">
        <v>1773</v>
      </c>
    </row>
    <row r="32" spans="1:19" ht="16.5" customHeight="1">
      <c r="B32" s="22"/>
      <c r="C32" s="226" t="s">
        <v>1985</v>
      </c>
      <c r="E32" s="224" t="s">
        <v>2024</v>
      </c>
      <c r="G32" s="224" t="s">
        <v>2024</v>
      </c>
      <c r="P32" s="2"/>
      <c r="S32" s="226" t="s">
        <v>778</v>
      </c>
    </row>
    <row r="33" spans="2:19" ht="16.5" customHeight="1">
      <c r="B33" s="22"/>
      <c r="C33" s="226" t="s">
        <v>1986</v>
      </c>
      <c r="E33" s="240" t="s">
        <v>1838</v>
      </c>
      <c r="G33" s="240" t="s">
        <v>1838</v>
      </c>
      <c r="P33" s="2"/>
      <c r="S33" s="138" t="s">
        <v>2026</v>
      </c>
    </row>
    <row r="34" spans="2:19" ht="16.5" customHeight="1">
      <c r="C34" s="248"/>
      <c r="E34" s="225" t="s">
        <v>1819</v>
      </c>
      <c r="G34" s="225" t="s">
        <v>1819</v>
      </c>
      <c r="P34" s="2"/>
    </row>
    <row r="35" spans="2:19" ht="16.5" customHeight="1">
      <c r="C35" s="225"/>
      <c r="E35" s="226" t="s">
        <v>1859</v>
      </c>
      <c r="G35" s="226" t="s">
        <v>1859</v>
      </c>
      <c r="P35" s="2"/>
      <c r="S35" s="225" t="s">
        <v>1819</v>
      </c>
    </row>
    <row r="36" spans="2:19" ht="16.5" customHeight="1">
      <c r="B36" s="7"/>
      <c r="C36" s="226"/>
      <c r="E36" s="226" t="s">
        <v>1860</v>
      </c>
      <c r="G36" s="226" t="s">
        <v>1860</v>
      </c>
      <c r="P36" s="2"/>
      <c r="S36" s="226" t="s">
        <v>1862</v>
      </c>
    </row>
    <row r="37" spans="2:19" ht="16.5" customHeight="1">
      <c r="C37" s="226"/>
      <c r="E37" s="226" t="s">
        <v>1985</v>
      </c>
      <c r="G37" s="226" t="s">
        <v>1985</v>
      </c>
      <c r="P37" s="2"/>
      <c r="S37" s="226" t="s">
        <v>1863</v>
      </c>
    </row>
    <row r="38" spans="2:19" ht="16.5" customHeight="1">
      <c r="C38" s="226"/>
      <c r="E38" s="226" t="s">
        <v>1986</v>
      </c>
      <c r="G38" s="226" t="s">
        <v>1986</v>
      </c>
      <c r="P38" s="2"/>
      <c r="S38" s="226" t="s">
        <v>1881</v>
      </c>
    </row>
    <row r="39" spans="2:19" ht="16.5" customHeight="1">
      <c r="C39" s="226"/>
      <c r="E39" s="226"/>
      <c r="G39" s="226"/>
      <c r="P39" s="2"/>
      <c r="S39" s="222" t="s">
        <v>1864</v>
      </c>
    </row>
    <row r="40" spans="2:19" ht="16.5" customHeight="1">
      <c r="C40" s="229"/>
      <c r="E40" s="226"/>
      <c r="G40" s="226"/>
      <c r="P40" s="2"/>
      <c r="S40" s="218" t="s">
        <v>2031</v>
      </c>
    </row>
    <row r="41" spans="2:19" ht="16.5" customHeight="1">
      <c r="C41" s="229"/>
      <c r="E41" s="224"/>
      <c r="G41" s="242"/>
      <c r="P41" s="2"/>
    </row>
    <row r="42" spans="2:19" ht="16.5" customHeight="1">
      <c r="C42" s="229"/>
      <c r="E42" s="224"/>
      <c r="P42" s="2"/>
    </row>
    <row r="43" spans="2:19" ht="16.5" customHeight="1">
      <c r="E43" s="5"/>
    </row>
  </sheetData>
  <printOptions headings="1"/>
  <pageMargins left="0" right="0" top="0" bottom="0" header="0.3" footer="0.3"/>
  <pageSetup paperSize="9" scale="10" orientation="landscape"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64"/>
  <sheetViews>
    <sheetView workbookViewId="0">
      <selection activeCell="A7" sqref="A7"/>
    </sheetView>
  </sheetViews>
  <sheetFormatPr defaultRowHeight="14.5"/>
  <cols>
    <col min="1" max="1" width="23.453125" customWidth="1"/>
    <col min="2" max="2" width="8.81640625" style="135"/>
    <col min="7" max="7" width="16.08984375" customWidth="1"/>
    <col min="9" max="9" width="27.36328125" customWidth="1"/>
    <col min="10" max="10" width="13.6328125" customWidth="1"/>
    <col min="11" max="11" width="33.6328125" customWidth="1"/>
    <col min="12" max="12" width="8.81640625" style="135"/>
  </cols>
  <sheetData>
    <row r="1" spans="1:12">
      <c r="A1" t="s">
        <v>441</v>
      </c>
      <c r="D1" t="s">
        <v>1405</v>
      </c>
      <c r="I1" t="s">
        <v>1538</v>
      </c>
      <c r="K1" t="s">
        <v>549</v>
      </c>
    </row>
    <row r="2" spans="1:12">
      <c r="A2" t="s">
        <v>368</v>
      </c>
      <c r="B2" s="119">
        <v>6.13</v>
      </c>
      <c r="K2" t="s">
        <v>1540</v>
      </c>
      <c r="L2" s="135">
        <v>3000</v>
      </c>
    </row>
    <row r="3" spans="1:12">
      <c r="A3" t="s">
        <v>1535</v>
      </c>
      <c r="B3" s="119">
        <v>20</v>
      </c>
      <c r="K3" t="s">
        <v>903</v>
      </c>
      <c r="L3" s="136">
        <v>800</v>
      </c>
    </row>
    <row r="4" spans="1:12">
      <c r="A4" t="s">
        <v>1186</v>
      </c>
      <c r="B4" s="135">
        <v>800</v>
      </c>
      <c r="D4" t="s">
        <v>903</v>
      </c>
      <c r="K4" t="s">
        <v>1536</v>
      </c>
      <c r="L4" s="136">
        <v>1000</v>
      </c>
    </row>
    <row r="5" spans="1:12">
      <c r="A5" t="s">
        <v>1536</v>
      </c>
      <c r="B5" s="135">
        <v>4000</v>
      </c>
      <c r="D5" t="s">
        <v>1537</v>
      </c>
      <c r="I5" t="s">
        <v>1539</v>
      </c>
    </row>
    <row r="6" spans="1:12">
      <c r="I6" t="s">
        <v>1541</v>
      </c>
    </row>
    <row r="10" spans="1:12">
      <c r="A10" s="179" t="s">
        <v>1545</v>
      </c>
    </row>
    <row r="11" spans="1:12">
      <c r="A11" t="s">
        <v>1543</v>
      </c>
      <c r="B11" s="135" t="s">
        <v>1546</v>
      </c>
    </row>
    <row r="12" spans="1:12">
      <c r="B12" s="135" t="s">
        <v>1544</v>
      </c>
    </row>
    <row r="58" spans="8:8" ht="15.5">
      <c r="H58" s="3"/>
    </row>
    <row r="59" spans="8:8" ht="15.5">
      <c r="H59" s="4"/>
    </row>
    <row r="60" spans="8:8" ht="15.5">
      <c r="H60" s="3"/>
    </row>
    <row r="61" spans="8:8" ht="15.5">
      <c r="H61" s="3"/>
    </row>
    <row r="62" spans="8:8" ht="15.5">
      <c r="H62" s="3"/>
    </row>
    <row r="63" spans="8:8" ht="15.5">
      <c r="H63" s="3"/>
    </row>
    <row r="64" spans="8:8" ht="15.5">
      <c r="H64" s="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720"/>
  <sheetViews>
    <sheetView topLeftCell="M702" workbookViewId="0">
      <selection activeCell="R716" sqref="R716"/>
    </sheetView>
  </sheetViews>
  <sheetFormatPr defaultColWidth="8.81640625" defaultRowHeight="14.5"/>
  <cols>
    <col min="1" max="3" width="26" style="24" customWidth="1"/>
    <col min="4" max="4" width="12.7265625" style="24" customWidth="1"/>
    <col min="5" max="5" width="28.26953125" style="24" customWidth="1"/>
    <col min="6" max="6" width="9.6328125" style="24" customWidth="1"/>
    <col min="7" max="7" width="11.08984375" style="24" customWidth="1"/>
    <col min="8" max="8" width="11.453125" style="24" customWidth="1"/>
    <col min="9" max="9" width="10.36328125" style="24" customWidth="1"/>
    <col min="10" max="10" width="16" style="24" customWidth="1"/>
    <col min="11" max="11" width="14.81640625" style="24" customWidth="1"/>
    <col min="12" max="12" width="14.90625" style="24" customWidth="1"/>
    <col min="13" max="13" width="10.1796875" style="24" customWidth="1"/>
    <col min="14" max="14" width="12.1796875" style="24" customWidth="1"/>
    <col min="15" max="16" width="9" style="24" customWidth="1"/>
    <col min="17" max="17" width="8.81640625" style="24"/>
    <col min="18" max="18" width="10.81640625" style="24" customWidth="1"/>
    <col min="19" max="19" width="9.81640625" style="24" customWidth="1"/>
    <col min="20" max="20" width="8.81640625" style="24"/>
    <col min="21" max="21" width="14.6328125" style="24" customWidth="1"/>
    <col min="22" max="22" width="8.81640625" style="24"/>
    <col min="23" max="23" width="10.1796875" style="24" customWidth="1"/>
    <col min="24" max="24" width="11.08984375" style="24" customWidth="1"/>
    <col min="25" max="29" width="8.81640625" style="24"/>
    <col min="30" max="30" width="11.1796875" style="24" customWidth="1"/>
    <col min="31" max="16384" width="8.81640625" style="24"/>
  </cols>
  <sheetData>
    <row r="1" spans="1:11">
      <c r="A1" s="8"/>
      <c r="B1" t="s">
        <v>1902</v>
      </c>
      <c r="C1" t="s">
        <v>1693</v>
      </c>
      <c r="D1" t="s">
        <v>1331</v>
      </c>
      <c r="F1" t="s">
        <v>705</v>
      </c>
      <c r="G1" s="24" t="s">
        <v>72</v>
      </c>
      <c r="H1" t="s">
        <v>706</v>
      </c>
      <c r="I1" s="24" t="s">
        <v>72</v>
      </c>
      <c r="J1" t="s">
        <v>707</v>
      </c>
      <c r="K1" s="24" t="s">
        <v>72</v>
      </c>
    </row>
    <row r="2" spans="1:11">
      <c r="A2" s="8" t="s">
        <v>597</v>
      </c>
      <c r="B2" s="8"/>
      <c r="C2" s="8"/>
      <c r="D2" s="8"/>
      <c r="E2" s="8" t="s">
        <v>598</v>
      </c>
      <c r="F2" s="8"/>
      <c r="G2" s="8"/>
      <c r="H2" s="26">
        <v>180</v>
      </c>
    </row>
    <row r="3" spans="1:11">
      <c r="A3" s="8" t="s">
        <v>874</v>
      </c>
      <c r="B3" s="8"/>
      <c r="C3" s="8"/>
      <c r="D3" s="8"/>
      <c r="E3" s="8"/>
      <c r="F3" s="26">
        <v>100</v>
      </c>
      <c r="G3" s="8"/>
      <c r="H3" s="26"/>
    </row>
    <row r="4" spans="1:11">
      <c r="A4" s="8" t="s">
        <v>658</v>
      </c>
      <c r="B4" s="8"/>
      <c r="C4" s="8"/>
      <c r="D4" s="8"/>
      <c r="E4" s="8"/>
      <c r="F4" s="8"/>
      <c r="G4" s="8"/>
      <c r="H4" s="26">
        <v>150</v>
      </c>
    </row>
    <row r="5" spans="1:11">
      <c r="A5" s="7" t="s">
        <v>747</v>
      </c>
      <c r="B5" s="7"/>
      <c r="C5" s="7"/>
      <c r="D5" s="7"/>
      <c r="E5" s="8"/>
      <c r="F5" s="26">
        <v>30</v>
      </c>
      <c r="G5" s="8"/>
      <c r="H5" s="26"/>
    </row>
    <row r="6" spans="1:11">
      <c r="A6" s="113" t="s">
        <v>627</v>
      </c>
      <c r="B6" s="113"/>
      <c r="C6" s="113"/>
      <c r="D6" s="26">
        <v>1250</v>
      </c>
      <c r="E6" s="8"/>
      <c r="F6" s="26">
        <v>1000</v>
      </c>
      <c r="G6" s="8"/>
      <c r="H6" s="26">
        <f>1500</f>
        <v>1500</v>
      </c>
    </row>
    <row r="7" spans="1:11">
      <c r="A7" s="25" t="s">
        <v>198</v>
      </c>
      <c r="B7" s="25"/>
      <c r="C7" s="25"/>
      <c r="D7" s="25"/>
      <c r="E7" s="8"/>
      <c r="F7" s="8"/>
      <c r="G7" s="8"/>
      <c r="H7" s="26">
        <v>180</v>
      </c>
      <c r="J7" s="26">
        <v>186</v>
      </c>
    </row>
    <row r="8" spans="1:11">
      <c r="A8" s="24" t="s">
        <v>175</v>
      </c>
      <c r="D8" s="26">
        <v>100</v>
      </c>
      <c r="F8" s="26">
        <v>180</v>
      </c>
      <c r="H8" s="26">
        <v>72</v>
      </c>
      <c r="J8" s="26">
        <v>180</v>
      </c>
    </row>
    <row r="9" spans="1:11">
      <c r="A9" s="8" t="s">
        <v>603</v>
      </c>
      <c r="B9" s="8"/>
      <c r="C9" s="8"/>
      <c r="D9" s="8"/>
      <c r="F9" s="26">
        <v>180</v>
      </c>
      <c r="H9" s="26">
        <v>371</v>
      </c>
      <c r="J9" s="26"/>
    </row>
    <row r="10" spans="1:11">
      <c r="A10" t="s">
        <v>520</v>
      </c>
      <c r="B10"/>
      <c r="C10"/>
      <c r="D10"/>
      <c r="E10"/>
      <c r="F10"/>
      <c r="G10"/>
      <c r="H10" s="44">
        <f>300+500</f>
        <v>800</v>
      </c>
      <c r="J10" s="26"/>
    </row>
    <row r="11" spans="1:11">
      <c r="A11" t="s">
        <v>1042</v>
      </c>
      <c r="B11"/>
      <c r="C11"/>
      <c r="D11"/>
      <c r="E11"/>
      <c r="F11" s="26">
        <v>600</v>
      </c>
      <c r="G11"/>
      <c r="H11" s="44"/>
      <c r="J11" s="26"/>
    </row>
    <row r="12" spans="1:11">
      <c r="A12" t="s">
        <v>1332</v>
      </c>
      <c r="B12"/>
      <c r="C12"/>
      <c r="D12" s="26">
        <v>250</v>
      </c>
      <c r="E12"/>
      <c r="F12" s="26"/>
      <c r="G12"/>
      <c r="H12" s="44"/>
      <c r="J12" s="26"/>
    </row>
    <row r="13" spans="1:11">
      <c r="A13" t="s">
        <v>434</v>
      </c>
      <c r="B13"/>
      <c r="C13"/>
      <c r="D13"/>
      <c r="H13" s="26">
        <v>40</v>
      </c>
      <c r="J13" s="26"/>
    </row>
    <row r="14" spans="1:11">
      <c r="A14" t="s">
        <v>556</v>
      </c>
      <c r="B14"/>
      <c r="C14"/>
      <c r="D14"/>
      <c r="E14"/>
      <c r="F14"/>
      <c r="G14"/>
      <c r="H14" s="26">
        <v>55.5</v>
      </c>
      <c r="J14" s="26"/>
    </row>
    <row r="15" spans="1:11">
      <c r="A15" t="s">
        <v>1874</v>
      </c>
      <c r="B15"/>
      <c r="C15" s="26">
        <v>62</v>
      </c>
      <c r="D15"/>
      <c r="E15"/>
      <c r="F15"/>
      <c r="G15"/>
      <c r="H15" s="26"/>
      <c r="J15" s="26"/>
    </row>
    <row r="16" spans="1:11">
      <c r="A16" t="s">
        <v>1178</v>
      </c>
      <c r="B16"/>
      <c r="C16"/>
      <c r="D16"/>
      <c r="E16"/>
      <c r="F16" s="26">
        <v>100</v>
      </c>
      <c r="G16"/>
      <c r="H16" s="26"/>
      <c r="J16" s="26"/>
    </row>
    <row r="17" spans="1:14">
      <c r="A17" t="s">
        <v>1462</v>
      </c>
      <c r="B17"/>
      <c r="C17"/>
      <c r="D17" s="26">
        <f>100+900</f>
        <v>1000</v>
      </c>
      <c r="E17"/>
      <c r="F17" s="26"/>
      <c r="G17"/>
      <c r="H17" s="26"/>
      <c r="J17" s="26"/>
    </row>
    <row r="18" spans="1:14">
      <c r="A18" t="s">
        <v>1179</v>
      </c>
      <c r="B18"/>
      <c r="C18"/>
      <c r="D18"/>
      <c r="E18"/>
      <c r="F18" s="26">
        <v>36</v>
      </c>
      <c r="G18"/>
      <c r="H18" s="26"/>
      <c r="J18" s="26"/>
    </row>
    <row r="19" spans="1:14">
      <c r="A19" t="s">
        <v>670</v>
      </c>
      <c r="B19"/>
      <c r="C19"/>
      <c r="D19"/>
      <c r="H19" s="26">
        <v>250</v>
      </c>
      <c r="J19" s="26"/>
    </row>
    <row r="20" spans="1:14" ht="15.5">
      <c r="A20" s="106" t="s">
        <v>561</v>
      </c>
      <c r="B20" s="106"/>
      <c r="C20" s="106"/>
      <c r="D20" s="106"/>
      <c r="H20" s="26">
        <v>782</v>
      </c>
      <c r="J20" s="26"/>
    </row>
    <row r="21" spans="1:14">
      <c r="A21" s="24" t="s">
        <v>77</v>
      </c>
      <c r="E21" s="27" t="s">
        <v>78</v>
      </c>
      <c r="F21" s="37">
        <v>50</v>
      </c>
      <c r="G21" s="26">
        <f>130+500</f>
        <v>630</v>
      </c>
      <c r="H21" s="27"/>
      <c r="I21" s="27"/>
      <c r="J21" s="26">
        <v>72</v>
      </c>
      <c r="K21" s="28"/>
      <c r="L21" s="29" t="s">
        <v>140</v>
      </c>
      <c r="M21" s="29" t="s">
        <v>64</v>
      </c>
    </row>
    <row r="22" spans="1:14">
      <c r="A22" t="s">
        <v>680</v>
      </c>
      <c r="B22"/>
      <c r="C22" s="26">
        <v>1800</v>
      </c>
      <c r="D22" s="26">
        <f>200+960+932</f>
        <v>2092</v>
      </c>
      <c r="E22" s="27"/>
      <c r="F22" s="26">
        <f>580+660+260+832</f>
        <v>2332</v>
      </c>
      <c r="G22" s="27"/>
      <c r="H22" s="26">
        <f>120+2045.58</f>
        <v>2165.58</v>
      </c>
      <c r="I22" s="27"/>
      <c r="J22" s="26"/>
      <c r="K22" s="28"/>
      <c r="L22" s="28"/>
      <c r="M22" s="28"/>
    </row>
    <row r="23" spans="1:14">
      <c r="A23" t="s">
        <v>674</v>
      </c>
      <c r="B23"/>
      <c r="C23"/>
      <c r="D23"/>
      <c r="E23" s="27"/>
      <c r="F23" s="27"/>
      <c r="G23" s="27"/>
      <c r="H23" s="26">
        <v>360</v>
      </c>
      <c r="I23" s="27"/>
      <c r="J23" s="26"/>
      <c r="K23" s="28"/>
      <c r="L23" s="28"/>
      <c r="M23" s="28"/>
    </row>
    <row r="24" spans="1:14">
      <c r="A24" t="s">
        <v>1417</v>
      </c>
      <c r="B24"/>
      <c r="C24" s="37">
        <v>10</v>
      </c>
      <c r="D24" s="37">
        <v>10</v>
      </c>
      <c r="E24" s="27"/>
      <c r="F24" s="27"/>
      <c r="G24" s="27"/>
      <c r="H24" s="26"/>
      <c r="I24" s="27"/>
      <c r="J24" s="26"/>
      <c r="K24" s="28"/>
      <c r="L24" s="28"/>
      <c r="M24" s="28"/>
    </row>
    <row r="25" spans="1:14">
      <c r="A25" t="s">
        <v>1697</v>
      </c>
      <c r="B25" s="26">
        <v>100</v>
      </c>
      <c r="C25" s="26">
        <v>900</v>
      </c>
      <c r="D25" s="27"/>
      <c r="E25" s="27"/>
      <c r="F25" s="27"/>
      <c r="G25" s="27"/>
      <c r="H25" s="26"/>
      <c r="I25" s="27"/>
      <c r="J25" s="26"/>
      <c r="K25" s="28"/>
      <c r="L25" s="28"/>
      <c r="M25" s="28"/>
    </row>
    <row r="26" spans="1:14">
      <c r="A26" t="s">
        <v>752</v>
      </c>
      <c r="B26"/>
      <c r="C26"/>
      <c r="D26"/>
      <c r="F26" s="26">
        <v>100</v>
      </c>
      <c r="G26" s="26"/>
      <c r="H26" s="26">
        <v>36</v>
      </c>
      <c r="I26" s="42">
        <v>200</v>
      </c>
      <c r="J26" s="26"/>
      <c r="K26" s="28"/>
      <c r="L26" s="30" t="s">
        <v>141</v>
      </c>
      <c r="M26" s="30" t="s">
        <v>142</v>
      </c>
      <c r="N26" s="30"/>
    </row>
    <row r="27" spans="1:14">
      <c r="A27" s="7" t="s">
        <v>605</v>
      </c>
      <c r="B27" s="7"/>
      <c r="C27" s="7"/>
      <c r="D27" s="7"/>
      <c r="E27" s="26"/>
      <c r="F27" s="26"/>
      <c r="G27" s="26"/>
      <c r="H27" s="26">
        <v>100</v>
      </c>
      <c r="I27" s="26">
        <v>140</v>
      </c>
      <c r="J27" s="26"/>
      <c r="K27" s="28"/>
    </row>
    <row r="28" spans="1:14">
      <c r="A28" s="31" t="s">
        <v>65</v>
      </c>
      <c r="B28" s="31"/>
      <c r="C28" s="26">
        <f>815-157</f>
        <v>658</v>
      </c>
      <c r="D28" s="31"/>
      <c r="E28" s="32" t="s">
        <v>70</v>
      </c>
      <c r="F28" s="32"/>
      <c r="G28" s="32"/>
      <c r="H28" s="26">
        <v>100</v>
      </c>
      <c r="I28" s="32"/>
      <c r="J28" s="26">
        <v>250</v>
      </c>
      <c r="K28" s="28"/>
    </row>
    <row r="29" spans="1:14">
      <c r="A29" s="31" t="s">
        <v>1418</v>
      </c>
      <c r="B29" s="37">
        <f>36</f>
        <v>36</v>
      </c>
      <c r="C29" s="37">
        <f>36</f>
        <v>36</v>
      </c>
      <c r="D29" s="37">
        <v>18</v>
      </c>
      <c r="E29" s="32"/>
      <c r="F29" s="32"/>
      <c r="G29" s="32"/>
      <c r="H29" s="26"/>
      <c r="I29" s="32"/>
      <c r="J29" s="26"/>
      <c r="K29" s="28"/>
    </row>
    <row r="30" spans="1:14">
      <c r="A30" s="31" t="s">
        <v>1699</v>
      </c>
      <c r="B30" s="26">
        <v>18</v>
      </c>
      <c r="C30" s="26">
        <v>54</v>
      </c>
      <c r="D30" s="32"/>
      <c r="E30" s="32"/>
      <c r="F30" s="32"/>
      <c r="G30" s="32"/>
      <c r="H30" s="26"/>
      <c r="I30" s="32"/>
      <c r="J30" s="26"/>
      <c r="K30" s="28"/>
    </row>
    <row r="31" spans="1:14">
      <c r="A31" s="79" t="s">
        <v>464</v>
      </c>
      <c r="B31" s="79"/>
      <c r="C31" s="79"/>
      <c r="D31" s="79"/>
      <c r="E31" s="32"/>
      <c r="F31" s="32"/>
      <c r="G31" s="32"/>
      <c r="H31" s="26">
        <v>500</v>
      </c>
      <c r="I31" s="32"/>
      <c r="J31" s="26"/>
      <c r="K31" s="28"/>
    </row>
    <row r="32" spans="1:14">
      <c r="A32" s="79" t="s">
        <v>1133</v>
      </c>
      <c r="B32" s="79"/>
      <c r="C32" s="79"/>
      <c r="D32" s="79"/>
      <c r="E32" s="32"/>
      <c r="F32" s="26"/>
      <c r="G32" s="32"/>
      <c r="H32" s="26"/>
      <c r="I32" s="32"/>
      <c r="J32" s="26"/>
      <c r="K32" s="28"/>
    </row>
    <row r="33" spans="1:11">
      <c r="A33" s="79" t="s">
        <v>594</v>
      </c>
      <c r="B33" s="79"/>
      <c r="C33" s="79"/>
      <c r="D33" s="79"/>
      <c r="E33" s="32"/>
      <c r="F33" s="37">
        <v>20</v>
      </c>
      <c r="G33" s="26">
        <v>170</v>
      </c>
      <c r="H33" s="26">
        <v>2000</v>
      </c>
      <c r="I33" s="32"/>
      <c r="J33" s="26"/>
      <c r="K33" s="28"/>
    </row>
    <row r="34" spans="1:11">
      <c r="A34" s="79" t="s">
        <v>629</v>
      </c>
      <c r="B34" s="79"/>
      <c r="C34" s="79"/>
      <c r="D34" s="79"/>
      <c r="E34" s="32"/>
      <c r="F34" s="26">
        <f>1800+1000</f>
        <v>2800</v>
      </c>
      <c r="G34" s="32"/>
      <c r="H34" s="26">
        <f>9500+2000+1800+1500</f>
        <v>14800</v>
      </c>
      <c r="I34" s="32"/>
      <c r="J34" s="26"/>
      <c r="K34" s="28"/>
    </row>
    <row r="35" spans="1:11">
      <c r="A35" s="79" t="s">
        <v>1157</v>
      </c>
      <c r="B35" s="79"/>
      <c r="C35" s="79"/>
      <c r="D35" s="79"/>
      <c r="E35" s="32"/>
      <c r="F35" s="26">
        <v>360</v>
      </c>
      <c r="G35" s="32"/>
      <c r="H35" s="26"/>
      <c r="I35" s="32"/>
      <c r="J35" s="26"/>
      <c r="K35" s="28"/>
    </row>
    <row r="36" spans="1:11">
      <c r="A36" s="31" t="s">
        <v>160</v>
      </c>
      <c r="B36" s="31"/>
      <c r="C36" s="31"/>
      <c r="D36" s="31"/>
      <c r="E36" s="32"/>
      <c r="F36" s="32"/>
      <c r="G36" s="32"/>
      <c r="H36" s="32"/>
      <c r="I36" s="32"/>
      <c r="J36" s="26">
        <v>100</v>
      </c>
      <c r="K36" s="28"/>
    </row>
    <row r="37" spans="1:11">
      <c r="A37" s="31" t="s">
        <v>159</v>
      </c>
      <c r="B37" s="31"/>
      <c r="C37" s="31"/>
      <c r="D37" s="37">
        <v>200</v>
      </c>
      <c r="E37" s="32"/>
      <c r="F37" s="37">
        <v>200</v>
      </c>
      <c r="G37" s="32"/>
      <c r="H37" s="37">
        <v>200</v>
      </c>
      <c r="I37" s="26">
        <v>500</v>
      </c>
      <c r="J37" s="26">
        <f>1000+500</f>
        <v>1500</v>
      </c>
      <c r="K37" s="28"/>
    </row>
    <row r="38" spans="1:11">
      <c r="A38" s="31" t="s">
        <v>130</v>
      </c>
      <c r="B38" s="31"/>
      <c r="C38" s="31"/>
      <c r="D38" s="31"/>
      <c r="E38" s="32"/>
      <c r="F38" s="26">
        <v>300</v>
      </c>
      <c r="G38" s="32"/>
      <c r="H38" s="32"/>
      <c r="I38" s="32"/>
      <c r="J38" s="26">
        <v>500</v>
      </c>
      <c r="K38" s="28"/>
    </row>
    <row r="39" spans="1:11">
      <c r="A39" s="33" t="s">
        <v>162</v>
      </c>
      <c r="B39" s="33"/>
      <c r="C39" s="33"/>
      <c r="D39" s="33"/>
      <c r="E39" s="32"/>
      <c r="F39" s="32"/>
      <c r="G39" s="32"/>
      <c r="H39" s="32"/>
      <c r="I39" s="32"/>
      <c r="J39" s="26">
        <v>54</v>
      </c>
      <c r="K39" s="28"/>
    </row>
    <row r="40" spans="1:11">
      <c r="A40" s="79" t="s">
        <v>709</v>
      </c>
      <c r="B40" s="79"/>
      <c r="C40" s="37">
        <f>10-5</f>
        <v>5</v>
      </c>
      <c r="D40" s="79"/>
      <c r="E40" s="75" t="s">
        <v>749</v>
      </c>
      <c r="F40" s="37">
        <v>22</v>
      </c>
      <c r="G40" s="126">
        <v>500</v>
      </c>
      <c r="K40" s="28"/>
    </row>
    <row r="41" spans="1:11">
      <c r="A41" s="79" t="s">
        <v>1452</v>
      </c>
      <c r="B41" s="79"/>
      <c r="C41" s="26">
        <v>100</v>
      </c>
      <c r="D41" s="26">
        <f>250+500</f>
        <v>750</v>
      </c>
      <c r="E41" s="75"/>
      <c r="F41" s="126"/>
      <c r="G41" s="126"/>
      <c r="K41" s="28"/>
    </row>
    <row r="42" spans="1:11">
      <c r="A42" s="79" t="s">
        <v>524</v>
      </c>
      <c r="B42" s="79"/>
      <c r="C42" s="79"/>
      <c r="D42" s="79"/>
      <c r="E42" s="32"/>
      <c r="F42" s="32"/>
      <c r="G42" s="32"/>
      <c r="H42" s="26">
        <v>1000</v>
      </c>
      <c r="I42" s="26"/>
      <c r="J42" s="26"/>
      <c r="K42" s="28"/>
    </row>
    <row r="43" spans="1:11">
      <c r="A43" s="79" t="s">
        <v>151</v>
      </c>
      <c r="B43" s="79"/>
      <c r="C43" s="79"/>
      <c r="D43" s="26">
        <v>1800</v>
      </c>
      <c r="E43" s="32"/>
      <c r="F43" s="26">
        <v>360</v>
      </c>
      <c r="G43" s="32"/>
      <c r="H43" s="26">
        <v>42.5</v>
      </c>
      <c r="I43" s="26"/>
      <c r="J43" s="26"/>
      <c r="K43" s="28"/>
    </row>
    <row r="44" spans="1:11">
      <c r="A44" s="33" t="s">
        <v>161</v>
      </c>
      <c r="B44" s="33"/>
      <c r="C44" s="33"/>
      <c r="D44" s="33"/>
      <c r="E44" s="32"/>
      <c r="F44" s="32"/>
      <c r="G44" s="32"/>
      <c r="H44" s="26">
        <v>180</v>
      </c>
      <c r="I44" s="32"/>
      <c r="J44" s="26">
        <f>400+400</f>
        <v>800</v>
      </c>
      <c r="K44" s="28"/>
    </row>
    <row r="45" spans="1:11">
      <c r="A45" s="33" t="s">
        <v>1241</v>
      </c>
      <c r="B45" s="33"/>
      <c r="C45" s="33"/>
      <c r="D45" s="33"/>
      <c r="E45" s="32"/>
      <c r="F45" s="26">
        <v>2000</v>
      </c>
      <c r="G45" s="32"/>
      <c r="H45" s="26"/>
      <c r="I45" s="32"/>
      <c r="J45" s="26"/>
      <c r="K45" s="28"/>
    </row>
    <row r="46" spans="1:11">
      <c r="A46" s="31" t="s">
        <v>151</v>
      </c>
      <c r="B46" s="31"/>
      <c r="C46" s="26">
        <v>200</v>
      </c>
      <c r="D46" s="31"/>
      <c r="E46" s="32"/>
      <c r="F46" s="32"/>
      <c r="G46" s="32"/>
      <c r="H46" s="32"/>
      <c r="I46" s="32"/>
      <c r="J46" s="26"/>
      <c r="K46" s="34">
        <v>60</v>
      </c>
    </row>
    <row r="47" spans="1:11">
      <c r="A47" s="35" t="s">
        <v>88</v>
      </c>
      <c r="B47" s="37">
        <v>18</v>
      </c>
      <c r="C47" s="37">
        <v>18</v>
      </c>
      <c r="D47" s="37">
        <v>7</v>
      </c>
      <c r="E47" s="32" t="s">
        <v>89</v>
      </c>
      <c r="F47" s="26">
        <f>100+250</f>
        <v>350</v>
      </c>
      <c r="G47" s="32"/>
      <c r="H47" s="37">
        <v>7</v>
      </c>
      <c r="I47" s="32"/>
      <c r="J47" s="26">
        <v>360</v>
      </c>
      <c r="K47" s="28"/>
    </row>
    <row r="48" spans="1:11">
      <c r="A48" s="31" t="s">
        <v>68</v>
      </c>
      <c r="B48" s="31"/>
      <c r="C48" s="31"/>
      <c r="D48" s="26">
        <v>200</v>
      </c>
      <c r="E48" s="31"/>
      <c r="F48" s="31"/>
      <c r="G48" s="31"/>
      <c r="H48" s="31"/>
      <c r="I48" s="34">
        <v>120</v>
      </c>
      <c r="J48" s="26">
        <v>180</v>
      </c>
      <c r="K48" s="28"/>
    </row>
    <row r="49" spans="1:11">
      <c r="A49" s="79" t="s">
        <v>719</v>
      </c>
      <c r="B49" s="79"/>
      <c r="C49" s="37">
        <v>20</v>
      </c>
      <c r="D49" s="31"/>
      <c r="E49" s="31"/>
      <c r="F49" s="31"/>
      <c r="G49" s="31"/>
      <c r="H49" s="31"/>
      <c r="I49" s="34"/>
      <c r="J49" s="26"/>
      <c r="K49" s="28"/>
    </row>
    <row r="50" spans="1:11">
      <c r="A50" s="79" t="s">
        <v>704</v>
      </c>
      <c r="B50" s="79"/>
      <c r="C50" s="79"/>
      <c r="D50" s="37">
        <v>15</v>
      </c>
      <c r="E50" s="31"/>
      <c r="F50" s="26">
        <v>150</v>
      </c>
      <c r="G50" s="31"/>
      <c r="H50" s="26">
        <v>100</v>
      </c>
      <c r="I50" s="34"/>
      <c r="J50" s="26"/>
      <c r="K50" s="28"/>
    </row>
    <row r="51" spans="1:11">
      <c r="A51" s="79" t="s">
        <v>839</v>
      </c>
      <c r="B51" s="79"/>
      <c r="C51" s="26">
        <v>1500</v>
      </c>
      <c r="D51" s="79"/>
      <c r="E51" s="31"/>
      <c r="F51" s="26">
        <v>36</v>
      </c>
      <c r="G51" s="31"/>
      <c r="H51" s="31"/>
      <c r="I51" s="34"/>
      <c r="J51" s="26"/>
      <c r="K51" s="28"/>
    </row>
    <row r="52" spans="1:11">
      <c r="A52" t="s">
        <v>469</v>
      </c>
      <c r="B52"/>
      <c r="C52" s="37">
        <v>150</v>
      </c>
      <c r="D52" s="26">
        <v>2000</v>
      </c>
      <c r="E52"/>
      <c r="F52" s="26">
        <v>1500</v>
      </c>
      <c r="G52"/>
      <c r="H52" s="27"/>
      <c r="J52" s="26"/>
    </row>
    <row r="53" spans="1:11">
      <c r="A53" t="s">
        <v>989</v>
      </c>
      <c r="B53"/>
      <c r="C53"/>
      <c r="D53"/>
      <c r="E53"/>
      <c r="F53" s="26">
        <v>100</v>
      </c>
      <c r="G53"/>
      <c r="H53" s="27"/>
      <c r="J53" s="26"/>
    </row>
    <row r="54" spans="1:11" ht="15.5">
      <c r="A54" t="s">
        <v>785</v>
      </c>
      <c r="B54"/>
      <c r="C54" s="117"/>
      <c r="D54" s="26">
        <v>100</v>
      </c>
      <c r="E54"/>
      <c r="F54" s="26">
        <v>205</v>
      </c>
      <c r="G54"/>
      <c r="H54" s="27"/>
      <c r="J54" s="26"/>
    </row>
    <row r="55" spans="1:11" ht="15.5">
      <c r="A55" s="31" t="s">
        <v>83</v>
      </c>
      <c r="B55" s="31"/>
      <c r="C55" s="117"/>
      <c r="D55" s="31"/>
      <c r="E55" s="75" t="s">
        <v>416</v>
      </c>
      <c r="F55" s="75"/>
      <c r="G55" s="75"/>
      <c r="H55" s="26">
        <v>40</v>
      </c>
      <c r="I55" s="31"/>
      <c r="J55" s="26">
        <v>54</v>
      </c>
      <c r="K55" s="28"/>
    </row>
    <row r="56" spans="1:11">
      <c r="A56" s="31" t="s">
        <v>176</v>
      </c>
      <c r="B56" s="31"/>
      <c r="C56" s="7"/>
      <c r="D56" s="26">
        <v>1800</v>
      </c>
      <c r="E56" s="31"/>
      <c r="F56" s="31"/>
      <c r="G56" s="31"/>
      <c r="H56" s="37">
        <v>250</v>
      </c>
      <c r="I56" s="26">
        <f>380+720+800+500+500+700</f>
        <v>3600</v>
      </c>
      <c r="J56" s="26">
        <v>120</v>
      </c>
      <c r="K56" s="28"/>
    </row>
    <row r="57" spans="1:11">
      <c r="A57" s="31" t="s">
        <v>116</v>
      </c>
      <c r="B57" s="31"/>
      <c r="C57" s="7"/>
      <c r="D57" s="31"/>
      <c r="E57" s="31" t="s">
        <v>156</v>
      </c>
      <c r="F57" s="31"/>
      <c r="G57" s="31"/>
      <c r="H57" s="31"/>
      <c r="I57" s="31"/>
      <c r="J57" s="26">
        <f>500+100</f>
        <v>600</v>
      </c>
      <c r="K57" s="28"/>
    </row>
    <row r="58" spans="1:11">
      <c r="A58" s="31" t="s">
        <v>138</v>
      </c>
      <c r="B58" s="31"/>
      <c r="C58" s="79"/>
      <c r="E58" s="31"/>
      <c r="F58" s="31"/>
      <c r="G58" s="31"/>
      <c r="H58" s="26">
        <v>103</v>
      </c>
      <c r="I58" s="31"/>
      <c r="J58" s="26">
        <v>30</v>
      </c>
      <c r="K58" s="28"/>
    </row>
    <row r="59" spans="1:11">
      <c r="A59" s="79" t="s">
        <v>712</v>
      </c>
      <c r="B59" s="79"/>
      <c r="C59" s="79"/>
      <c r="D59" s="79"/>
      <c r="E59" s="75" t="s">
        <v>713</v>
      </c>
      <c r="G59" s="31"/>
      <c r="H59" s="26">
        <v>18</v>
      </c>
      <c r="I59" s="31"/>
      <c r="J59" s="26"/>
      <c r="K59" s="28"/>
    </row>
    <row r="60" spans="1:11">
      <c r="A60" s="79" t="s">
        <v>1015</v>
      </c>
      <c r="B60" s="79"/>
      <c r="C60" s="79"/>
      <c r="D60" s="79"/>
      <c r="E60" s="75"/>
      <c r="F60" s="26">
        <v>1000</v>
      </c>
      <c r="G60" s="31"/>
      <c r="H60" s="26"/>
      <c r="I60" s="31"/>
      <c r="J60" s="26"/>
      <c r="K60" s="28"/>
    </row>
    <row r="61" spans="1:11">
      <c r="A61" s="79" t="s">
        <v>465</v>
      </c>
      <c r="B61" s="79"/>
      <c r="C61"/>
      <c r="D61" s="79"/>
      <c r="E61" s="31"/>
      <c r="F61" s="31"/>
      <c r="G61" s="31"/>
      <c r="H61" s="26">
        <v>100</v>
      </c>
      <c r="I61" s="31"/>
      <c r="J61" s="26"/>
      <c r="K61" s="28"/>
    </row>
    <row r="62" spans="1:11">
      <c r="A62" t="s">
        <v>791</v>
      </c>
      <c r="B62"/>
      <c r="C62" s="7"/>
      <c r="D62"/>
      <c r="E62" s="31"/>
      <c r="F62" s="26">
        <v>18</v>
      </c>
      <c r="G62" s="31"/>
      <c r="H62" s="26"/>
      <c r="I62" s="31"/>
      <c r="J62" s="26"/>
      <c r="K62" s="28"/>
    </row>
    <row r="63" spans="1:11">
      <c r="A63" s="79" t="s">
        <v>899</v>
      </c>
      <c r="B63" s="79"/>
      <c r="C63" s="7"/>
      <c r="D63" s="26">
        <v>1000</v>
      </c>
      <c r="E63" s="31"/>
      <c r="F63" s="31"/>
      <c r="G63" s="31"/>
      <c r="H63" s="26"/>
      <c r="I63" s="31"/>
      <c r="J63" s="26"/>
      <c r="K63" s="28"/>
    </row>
    <row r="64" spans="1:11" ht="15.5">
      <c r="A64" s="94" t="s">
        <v>519</v>
      </c>
      <c r="B64" s="79"/>
      <c r="C64" s="7"/>
      <c r="D64" s="26">
        <v>30</v>
      </c>
      <c r="E64" s="31"/>
      <c r="F64" s="31"/>
      <c r="G64" s="31"/>
      <c r="H64" s="44">
        <f>280+162</f>
        <v>442</v>
      </c>
      <c r="I64" s="31"/>
      <c r="J64" s="26"/>
      <c r="K64" s="28"/>
    </row>
    <row r="65" spans="1:12">
      <c r="A65" s="36" t="s">
        <v>76</v>
      </c>
      <c r="B65" s="37">
        <v>54</v>
      </c>
      <c r="C65" s="37">
        <v>36</v>
      </c>
      <c r="D65" s="37">
        <v>25</v>
      </c>
      <c r="E65" s="32" t="s">
        <v>137</v>
      </c>
      <c r="F65" s="37">
        <v>25</v>
      </c>
      <c r="G65" s="26">
        <v>180</v>
      </c>
      <c r="H65" s="37">
        <v>20</v>
      </c>
      <c r="I65" s="26">
        <f>100+180</f>
        <v>280</v>
      </c>
      <c r="J65" s="37">
        <v>20</v>
      </c>
      <c r="K65" s="26">
        <v>30</v>
      </c>
      <c r="L65" s="38" t="s">
        <v>143</v>
      </c>
    </row>
    <row r="66" spans="1:12">
      <c r="A66" s="79" t="s">
        <v>525</v>
      </c>
      <c r="B66" s="79"/>
      <c r="C66" s="125"/>
      <c r="D66" s="26">
        <v>75</v>
      </c>
      <c r="E66" s="32"/>
      <c r="F66" s="26">
        <f>300+100+100+100+101+130+100+200+25+100</f>
        <v>1256</v>
      </c>
      <c r="G66" s="32"/>
      <c r="H66" s="26">
        <f>500+400+500+200+200+150+150+150+100+150</f>
        <v>2500</v>
      </c>
      <c r="I66" s="32"/>
      <c r="J66" s="32"/>
      <c r="K66" s="26"/>
      <c r="L66" s="38"/>
    </row>
    <row r="67" spans="1:12">
      <c r="A67" s="79" t="s">
        <v>703</v>
      </c>
      <c r="B67" s="79"/>
      <c r="C67" s="26">
        <v>50</v>
      </c>
      <c r="D67" s="79"/>
      <c r="E67" s="32"/>
      <c r="F67" s="26">
        <f>360+150+200</f>
        <v>710</v>
      </c>
      <c r="G67" s="32"/>
      <c r="H67" s="26"/>
      <c r="I67" s="32"/>
      <c r="J67" s="32"/>
      <c r="K67" s="26"/>
      <c r="L67" s="38"/>
    </row>
    <row r="68" spans="1:12">
      <c r="A68" s="79" t="s">
        <v>1879</v>
      </c>
      <c r="B68" s="79"/>
      <c r="C68" s="26">
        <v>63</v>
      </c>
      <c r="D68" s="79"/>
      <c r="E68" s="32"/>
      <c r="F68" s="26"/>
      <c r="G68" s="32"/>
      <c r="H68" s="26"/>
      <c r="I68" s="32"/>
      <c r="J68" s="32"/>
      <c r="K68" s="26"/>
      <c r="L68" s="38"/>
    </row>
    <row r="69" spans="1:12" ht="15.5">
      <c r="A69" s="79" t="s">
        <v>647</v>
      </c>
      <c r="B69" s="79"/>
      <c r="C69" s="117"/>
      <c r="D69" s="79"/>
      <c r="E69" s="32"/>
      <c r="F69" s="26">
        <f>500+500+500</f>
        <v>1500</v>
      </c>
      <c r="G69" s="32"/>
      <c r="H69" s="26">
        <v>3000</v>
      </c>
      <c r="I69" s="32"/>
      <c r="J69" s="32"/>
      <c r="K69" s="26"/>
      <c r="L69" s="38"/>
    </row>
    <row r="70" spans="1:12">
      <c r="A70" s="111" t="s">
        <v>729</v>
      </c>
      <c r="B70" s="111"/>
      <c r="C70" s="7"/>
      <c r="D70" s="111"/>
      <c r="E70" s="84" t="s">
        <v>732</v>
      </c>
      <c r="F70" s="26">
        <f>150+250+500</f>
        <v>900</v>
      </c>
      <c r="G70" s="32"/>
      <c r="H70" s="26"/>
      <c r="I70" s="32"/>
      <c r="J70" s="32"/>
      <c r="K70" s="26"/>
      <c r="L70" s="38"/>
    </row>
    <row r="71" spans="1:12">
      <c r="A71" s="79" t="s">
        <v>540</v>
      </c>
      <c r="B71" s="79"/>
      <c r="C71" s="7"/>
      <c r="D71" s="79"/>
      <c r="E71" s="32"/>
      <c r="F71" s="26">
        <v>500</v>
      </c>
      <c r="G71" s="32"/>
      <c r="H71" s="44">
        <v>390</v>
      </c>
      <c r="I71" s="32"/>
      <c r="J71" s="32"/>
      <c r="K71" s="26"/>
      <c r="L71" s="38"/>
    </row>
    <row r="72" spans="1:12">
      <c r="A72" s="31" t="s">
        <v>81</v>
      </c>
      <c r="B72" s="31"/>
      <c r="C72" s="79"/>
      <c r="D72" s="79"/>
      <c r="E72" s="32" t="s">
        <v>82</v>
      </c>
      <c r="F72" s="32"/>
      <c r="G72" s="32"/>
      <c r="H72" s="84"/>
      <c r="I72" s="32"/>
      <c r="J72" s="26">
        <v>36</v>
      </c>
      <c r="K72" s="28"/>
    </row>
    <row r="73" spans="1:12">
      <c r="A73" s="79" t="s">
        <v>1901</v>
      </c>
      <c r="B73" s="26">
        <v>360</v>
      </c>
      <c r="C73" s="79"/>
      <c r="D73" s="79"/>
      <c r="E73" s="32"/>
      <c r="F73" s="32"/>
      <c r="G73" s="32"/>
      <c r="H73" s="84"/>
      <c r="I73" s="32"/>
      <c r="J73" s="26"/>
      <c r="K73" s="28"/>
    </row>
    <row r="74" spans="1:12">
      <c r="A74" s="79" t="s">
        <v>201</v>
      </c>
      <c r="B74" s="79"/>
      <c r="C74" s="79"/>
      <c r="D74" s="79"/>
      <c r="E74" s="32"/>
      <c r="F74" s="26">
        <f>1000</f>
        <v>1000</v>
      </c>
      <c r="G74" s="32"/>
      <c r="H74" s="84"/>
      <c r="I74" s="32"/>
      <c r="J74" s="26"/>
      <c r="K74" s="28"/>
    </row>
    <row r="75" spans="1:12">
      <c r="A75" s="79" t="s">
        <v>91</v>
      </c>
      <c r="B75" s="79"/>
      <c r="C75" s="79"/>
      <c r="D75" s="79"/>
      <c r="E75" s="84"/>
      <c r="F75" s="32"/>
      <c r="G75" s="32"/>
      <c r="H75" s="32"/>
      <c r="I75" s="34">
        <v>250</v>
      </c>
      <c r="J75" s="26"/>
      <c r="K75" s="34">
        <v>200</v>
      </c>
    </row>
    <row r="76" spans="1:12">
      <c r="A76" s="79" t="s">
        <v>697</v>
      </c>
      <c r="B76" s="79"/>
      <c r="C76"/>
      <c r="D76" s="79"/>
      <c r="E76" s="32"/>
      <c r="F76" s="32"/>
      <c r="G76" s="32"/>
      <c r="H76" s="26">
        <v>100</v>
      </c>
      <c r="I76" s="34"/>
      <c r="J76" s="26"/>
      <c r="K76" s="34"/>
    </row>
    <row r="77" spans="1:12">
      <c r="A77" s="79" t="s">
        <v>790</v>
      </c>
      <c r="B77" s="79"/>
      <c r="C77" s="7"/>
      <c r="D77" s="79"/>
      <c r="E77" s="32"/>
      <c r="F77" s="32"/>
      <c r="G77" s="34">
        <v>136</v>
      </c>
      <c r="H77" s="26"/>
      <c r="I77" s="34"/>
      <c r="J77" s="26"/>
      <c r="K77" s="34"/>
    </row>
    <row r="78" spans="1:12" ht="15.5">
      <c r="A78" s="79" t="s">
        <v>751</v>
      </c>
      <c r="B78" s="79"/>
      <c r="C78" s="117"/>
      <c r="D78" s="79"/>
      <c r="E78" s="32"/>
      <c r="F78" s="26">
        <f>250+200+360</f>
        <v>810</v>
      </c>
      <c r="G78" s="34"/>
      <c r="H78" s="26"/>
      <c r="I78" s="34"/>
      <c r="J78" s="26"/>
      <c r="K78" s="34"/>
    </row>
    <row r="79" spans="1:12" ht="15.5">
      <c r="A79" s="79" t="s">
        <v>632</v>
      </c>
      <c r="B79" s="79"/>
      <c r="C79" s="117"/>
      <c r="D79" s="79"/>
      <c r="E79" s="75" t="s">
        <v>753</v>
      </c>
      <c r="F79" s="32"/>
      <c r="G79" s="32"/>
      <c r="H79" s="26">
        <v>360</v>
      </c>
      <c r="I79" s="34"/>
      <c r="J79" s="26"/>
      <c r="K79" s="34"/>
    </row>
    <row r="80" spans="1:12">
      <c r="A80" s="31" t="s">
        <v>67</v>
      </c>
      <c r="B80" s="31"/>
      <c r="C80" s="7"/>
      <c r="D80" s="31"/>
      <c r="E80" s="32" t="s">
        <v>69</v>
      </c>
      <c r="F80" s="32"/>
      <c r="G80" s="32"/>
      <c r="H80" s="32"/>
      <c r="I80" s="32"/>
      <c r="J80" s="26">
        <v>100</v>
      </c>
      <c r="K80" s="34"/>
    </row>
    <row r="81" spans="1:11">
      <c r="A81" s="79" t="s">
        <v>1905</v>
      </c>
      <c r="B81" s="90">
        <v>35</v>
      </c>
      <c r="C81" s="7"/>
      <c r="D81" s="31"/>
      <c r="E81" s="32"/>
      <c r="F81" s="32"/>
      <c r="G81" s="32"/>
      <c r="H81" s="32"/>
      <c r="I81" s="32"/>
      <c r="J81" s="26"/>
      <c r="K81" s="34"/>
    </row>
    <row r="82" spans="1:11">
      <c r="A82" s="79" t="s">
        <v>1426</v>
      </c>
      <c r="B82" s="79"/>
      <c r="C82" s="26">
        <v>683</v>
      </c>
      <c r="D82" s="31"/>
      <c r="E82" s="32"/>
      <c r="F82" s="32"/>
      <c r="G82" s="126">
        <v>1000</v>
      </c>
      <c r="H82" s="32"/>
      <c r="I82" s="32"/>
      <c r="J82" s="26"/>
      <c r="K82" s="34"/>
    </row>
    <row r="83" spans="1:11" ht="15.5">
      <c r="A83" s="92" t="s">
        <v>746</v>
      </c>
      <c r="B83" s="92"/>
      <c r="C83" s="79"/>
      <c r="D83" s="92"/>
      <c r="E83" s="32"/>
      <c r="F83" s="26">
        <v>150</v>
      </c>
      <c r="G83" s="126">
        <v>675</v>
      </c>
      <c r="H83" s="32"/>
      <c r="I83" s="32"/>
      <c r="J83" s="26"/>
      <c r="K83" s="34"/>
    </row>
    <row r="84" spans="1:11">
      <c r="A84" s="7" t="s">
        <v>638</v>
      </c>
      <c r="B84"/>
      <c r="C84" s="79"/>
      <c r="D84" s="31"/>
      <c r="E84" s="84"/>
      <c r="F84" s="32"/>
      <c r="G84" s="32"/>
      <c r="H84" s="26">
        <v>200</v>
      </c>
      <c r="I84" s="32"/>
      <c r="J84" s="26"/>
      <c r="K84" s="34"/>
    </row>
    <row r="85" spans="1:11">
      <c r="A85" t="s">
        <v>200</v>
      </c>
      <c r="B85"/>
      <c r="C85"/>
      <c r="D85" s="31"/>
      <c r="E85" s="75" t="s">
        <v>1131</v>
      </c>
      <c r="F85" s="26">
        <f>500+250</f>
        <v>750</v>
      </c>
      <c r="G85" s="32"/>
      <c r="H85" s="26"/>
      <c r="I85" s="32"/>
      <c r="J85" s="26"/>
      <c r="K85" s="34"/>
    </row>
    <row r="86" spans="1:11">
      <c r="A86" s="31" t="s">
        <v>73</v>
      </c>
      <c r="B86" s="31"/>
      <c r="C86"/>
      <c r="D86" s="31"/>
      <c r="E86" s="84"/>
      <c r="F86" s="84"/>
      <c r="G86" s="84"/>
      <c r="H86" s="32"/>
      <c r="I86" s="32"/>
      <c r="J86" s="26"/>
      <c r="K86" s="34">
        <v>46</v>
      </c>
    </row>
    <row r="87" spans="1:11">
      <c r="A87" s="31" t="s">
        <v>1155</v>
      </c>
      <c r="B87" s="31"/>
      <c r="C87" s="7"/>
      <c r="D87" s="31"/>
      <c r="E87" s="84"/>
      <c r="F87" s="26">
        <v>238</v>
      </c>
      <c r="G87" s="84"/>
      <c r="H87" s="32"/>
      <c r="I87" s="32"/>
      <c r="J87" s="26"/>
      <c r="K87" s="34"/>
    </row>
    <row r="88" spans="1:11">
      <c r="A88" s="79" t="s">
        <v>876</v>
      </c>
      <c r="B88" s="79"/>
      <c r="C88" s="7"/>
      <c r="D88" s="79"/>
      <c r="E88" s="84"/>
      <c r="F88" s="26">
        <v>18</v>
      </c>
      <c r="G88" s="84"/>
      <c r="H88" s="32"/>
      <c r="I88" s="32"/>
      <c r="J88" s="26"/>
      <c r="K88" s="34"/>
    </row>
    <row r="89" spans="1:11">
      <c r="A89" s="79" t="s">
        <v>1023</v>
      </c>
      <c r="B89" s="79"/>
      <c r="C89" s="7"/>
      <c r="D89" s="79"/>
      <c r="E89" s="84"/>
      <c r="F89" s="26">
        <v>900</v>
      </c>
      <c r="G89" s="84"/>
      <c r="H89" s="32"/>
      <c r="I89" s="32"/>
      <c r="J89" s="26"/>
      <c r="K89" s="34"/>
    </row>
    <row r="90" spans="1:11" ht="15.5">
      <c r="A90" s="39" t="s">
        <v>288</v>
      </c>
      <c r="B90" s="39"/>
      <c r="C90" s="26">
        <f>400+100+98.46+500+102+100+300</f>
        <v>1600.46</v>
      </c>
      <c r="D90" s="26">
        <f>300+100+100+100+100+300</f>
        <v>1000</v>
      </c>
      <c r="E90" s="40" t="s">
        <v>314</v>
      </c>
      <c r="F90" s="26">
        <f>200+100+500+100+100+100+100+100+100+500+100</f>
        <v>2000</v>
      </c>
      <c r="G90" s="40"/>
      <c r="H90" s="49">
        <v>300</v>
      </c>
      <c r="I90" s="26">
        <f>500+101+500</f>
        <v>1101</v>
      </c>
      <c r="J90" s="26">
        <f>1000+500</f>
        <v>1500</v>
      </c>
      <c r="K90" s="34"/>
    </row>
    <row r="91" spans="1:11" ht="15.5">
      <c r="A91" s="39" t="s">
        <v>373</v>
      </c>
      <c r="B91" s="39"/>
      <c r="C91" s="125"/>
      <c r="D91" s="39"/>
      <c r="E91" s="40"/>
      <c r="F91" s="26">
        <v>2000</v>
      </c>
      <c r="G91" s="40"/>
      <c r="H91" s="26">
        <f>1000+1500+500+1200</f>
        <v>4200</v>
      </c>
      <c r="I91" s="49">
        <v>100</v>
      </c>
      <c r="J91" s="26">
        <f>1800+1500</f>
        <v>3300</v>
      </c>
      <c r="K91" s="34"/>
    </row>
    <row r="92" spans="1:11" ht="15.5">
      <c r="A92" s="39" t="s">
        <v>696</v>
      </c>
      <c r="B92" s="39"/>
      <c r="D92" s="39"/>
      <c r="E92" s="40"/>
      <c r="F92" s="40"/>
      <c r="G92" s="40"/>
      <c r="H92" s="26">
        <v>150</v>
      </c>
      <c r="I92" s="26"/>
      <c r="J92" s="26"/>
      <c r="K92" s="34"/>
    </row>
    <row r="93" spans="1:11" ht="15.5">
      <c r="A93" s="39" t="s">
        <v>691</v>
      </c>
      <c r="B93" s="39"/>
      <c r="D93" s="39"/>
      <c r="E93" s="40"/>
      <c r="F93" s="26">
        <f>300+300+400+500+1000+500+500+500+500+360</f>
        <v>4860</v>
      </c>
      <c r="G93" s="40"/>
      <c r="H93" s="26">
        <f>100+200</f>
        <v>300</v>
      </c>
      <c r="I93" s="26"/>
      <c r="J93" s="26"/>
      <c r="K93" s="34"/>
    </row>
    <row r="94" spans="1:11" ht="15.5">
      <c r="A94" s="39" t="s">
        <v>1023</v>
      </c>
      <c r="B94" s="39"/>
      <c r="C94"/>
      <c r="D94" s="39"/>
      <c r="E94" s="40"/>
      <c r="F94" s="26">
        <f>900+900</f>
        <v>1800</v>
      </c>
      <c r="G94" s="40"/>
      <c r="H94" s="26"/>
      <c r="I94" s="26"/>
      <c r="J94" s="26"/>
      <c r="K94" s="34"/>
    </row>
    <row r="95" spans="1:11" ht="15.5">
      <c r="A95" s="39" t="s">
        <v>1233</v>
      </c>
      <c r="B95" s="39"/>
      <c r="C95" s="39"/>
      <c r="D95" s="39"/>
      <c r="E95" s="40"/>
      <c r="F95" s="26">
        <v>250</v>
      </c>
      <c r="G95" s="40"/>
      <c r="H95" s="26"/>
      <c r="I95" s="26"/>
      <c r="J95" s="26"/>
      <c r="K95" s="34"/>
    </row>
    <row r="96" spans="1:11" ht="15.5">
      <c r="A96" s="39" t="s">
        <v>497</v>
      </c>
      <c r="B96" s="39"/>
      <c r="C96" s="39"/>
      <c r="D96" s="39"/>
      <c r="E96" s="40"/>
      <c r="F96" s="40"/>
      <c r="G96" s="40"/>
      <c r="H96" s="26">
        <v>300</v>
      </c>
      <c r="I96" s="40"/>
      <c r="J96" s="26"/>
      <c r="K96" s="34"/>
    </row>
    <row r="97" spans="1:11" ht="15.5">
      <c r="A97" s="39" t="s">
        <v>748</v>
      </c>
      <c r="B97" s="39"/>
      <c r="C97" s="39"/>
      <c r="D97" s="39"/>
      <c r="E97" s="40"/>
      <c r="F97" s="26">
        <v>135</v>
      </c>
      <c r="G97" s="40"/>
      <c r="H97" s="26"/>
      <c r="I97" s="40"/>
      <c r="J97" s="26"/>
      <c r="K97" s="34"/>
    </row>
    <row r="98" spans="1:11">
      <c r="A98" s="31" t="s">
        <v>197</v>
      </c>
      <c r="B98" s="31"/>
      <c r="C98" s="31"/>
      <c r="D98" s="31"/>
      <c r="E98" s="84"/>
      <c r="F98" s="84"/>
      <c r="G98" s="84"/>
      <c r="H98" s="26">
        <v>900</v>
      </c>
      <c r="I98" s="32"/>
      <c r="J98" s="26">
        <v>500</v>
      </c>
      <c r="K98" s="34">
        <v>1329</v>
      </c>
    </row>
    <row r="99" spans="1:11" ht="15.5">
      <c r="A99" s="85" t="s">
        <v>628</v>
      </c>
      <c r="B99" s="85"/>
      <c r="C99" s="85"/>
      <c r="D99" s="85"/>
      <c r="E99" s="84"/>
      <c r="F99" s="84"/>
      <c r="G99" s="84"/>
      <c r="H99" s="26"/>
      <c r="I99" s="32"/>
      <c r="J99" s="26"/>
      <c r="K99" s="34"/>
    </row>
    <row r="100" spans="1:11" ht="15.5">
      <c r="A100" s="85" t="s">
        <v>1866</v>
      </c>
      <c r="B100" s="85"/>
      <c r="C100" s="26">
        <v>1000</v>
      </c>
      <c r="D100" s="85"/>
      <c r="E100" s="84"/>
      <c r="F100" s="84"/>
      <c r="G100" s="84"/>
      <c r="H100" s="26"/>
      <c r="I100" s="32"/>
      <c r="J100" s="26"/>
      <c r="K100" s="34"/>
    </row>
    <row r="101" spans="1:11" ht="15.5">
      <c r="A101" s="85" t="s">
        <v>1190</v>
      </c>
      <c r="B101" s="85"/>
      <c r="C101" s="85"/>
      <c r="D101" s="85"/>
      <c r="E101" s="84"/>
      <c r="F101" s="26">
        <v>1000</v>
      </c>
      <c r="G101" s="84"/>
      <c r="H101" s="26"/>
      <c r="I101" s="32"/>
      <c r="J101" s="26"/>
      <c r="K101" s="34"/>
    </row>
    <row r="102" spans="1:11" ht="15.5">
      <c r="A102" s="85" t="s">
        <v>1909</v>
      </c>
      <c r="B102" s="49">
        <v>36</v>
      </c>
      <c r="C102" s="85"/>
      <c r="D102" s="85"/>
      <c r="E102" s="84"/>
      <c r="F102" s="26"/>
      <c r="G102" s="84"/>
      <c r="H102" s="26"/>
      <c r="I102" s="32"/>
      <c r="J102" s="26"/>
      <c r="K102" s="34"/>
    </row>
    <row r="103" spans="1:11" ht="15.5">
      <c r="A103" s="85" t="s">
        <v>890</v>
      </c>
      <c r="B103" s="85"/>
      <c r="C103" s="85"/>
      <c r="D103" s="85"/>
      <c r="E103" s="84"/>
      <c r="F103" s="26">
        <f>100+100+1000</f>
        <v>1200</v>
      </c>
      <c r="G103" s="84"/>
      <c r="H103" s="26"/>
      <c r="I103" s="32"/>
      <c r="J103" s="26"/>
      <c r="K103" s="34"/>
    </row>
    <row r="104" spans="1:11" ht="15.5">
      <c r="A104" s="85" t="s">
        <v>470</v>
      </c>
      <c r="B104" s="85"/>
      <c r="C104" s="85"/>
      <c r="D104" s="85"/>
      <c r="E104" s="84"/>
      <c r="F104" s="84"/>
      <c r="G104" s="84"/>
      <c r="H104" s="83">
        <v>1000</v>
      </c>
      <c r="I104" s="32"/>
      <c r="J104" s="26"/>
      <c r="K104" s="34"/>
    </row>
    <row r="105" spans="1:11">
      <c r="A105" s="31" t="s">
        <v>376</v>
      </c>
      <c r="B105" s="31"/>
      <c r="C105" s="31"/>
      <c r="D105" s="31"/>
      <c r="E105" s="32"/>
      <c r="F105" s="32"/>
      <c r="G105" s="32"/>
      <c r="H105" s="32"/>
      <c r="I105" s="32"/>
      <c r="J105" s="26">
        <v>200</v>
      </c>
      <c r="K105" s="34"/>
    </row>
    <row r="106" spans="1:11">
      <c r="A106" s="31" t="s">
        <v>1159</v>
      </c>
      <c r="B106" s="31"/>
      <c r="C106" s="31"/>
      <c r="D106" s="31"/>
      <c r="E106" s="32"/>
      <c r="F106" s="26">
        <v>11.2</v>
      </c>
      <c r="G106" s="32"/>
      <c r="H106" s="32"/>
      <c r="I106" s="32"/>
      <c r="J106" s="26"/>
      <c r="K106" s="34"/>
    </row>
    <row r="107" spans="1:11" ht="15.5">
      <c r="A107" s="117" t="s">
        <v>681</v>
      </c>
      <c r="B107" s="117"/>
      <c r="C107" s="117"/>
      <c r="D107" s="117"/>
      <c r="E107" s="32"/>
      <c r="F107" s="32"/>
      <c r="G107" s="32"/>
      <c r="H107" s="26">
        <v>1000</v>
      </c>
      <c r="I107" s="32"/>
      <c r="J107" s="26"/>
      <c r="K107" s="34"/>
    </row>
    <row r="108" spans="1:11" ht="15.5">
      <c r="A108" s="117" t="s">
        <v>1158</v>
      </c>
      <c r="B108" s="117"/>
      <c r="C108" s="117"/>
      <c r="D108" s="117"/>
      <c r="E108" s="32"/>
      <c r="F108" s="26">
        <v>100</v>
      </c>
      <c r="G108" s="32"/>
      <c r="H108" s="26"/>
      <c r="I108" s="32"/>
      <c r="J108" s="26"/>
      <c r="K108" s="34"/>
    </row>
    <row r="109" spans="1:11" ht="15.5">
      <c r="A109" s="117" t="s">
        <v>1043</v>
      </c>
      <c r="B109" s="117"/>
      <c r="C109" s="117"/>
      <c r="D109" s="117"/>
      <c r="E109" s="32"/>
      <c r="F109" s="26">
        <v>100</v>
      </c>
      <c r="G109" s="32"/>
      <c r="H109" s="26"/>
      <c r="I109" s="32"/>
      <c r="J109" s="26"/>
      <c r="K109" s="34"/>
    </row>
    <row r="110" spans="1:11">
      <c r="A110" s="7" t="s">
        <v>604</v>
      </c>
      <c r="B110" s="7"/>
      <c r="C110" s="26">
        <f>1345-250</f>
        <v>1095</v>
      </c>
      <c r="D110" s="7"/>
      <c r="E110" s="32"/>
      <c r="F110" s="26">
        <v>750</v>
      </c>
      <c r="G110" s="32"/>
      <c r="H110" s="26">
        <f>180+500</f>
        <v>680</v>
      </c>
      <c r="I110" s="32"/>
      <c r="J110" s="26"/>
      <c r="K110" s="34"/>
    </row>
    <row r="111" spans="1:11">
      <c r="A111" s="7" t="s">
        <v>1416</v>
      </c>
      <c r="B111" s="90">
        <v>60</v>
      </c>
      <c r="C111" s="37">
        <v>15</v>
      </c>
      <c r="D111" s="37">
        <v>10</v>
      </c>
      <c r="E111" s="32"/>
      <c r="F111" s="26"/>
      <c r="G111" s="32"/>
      <c r="H111" s="26"/>
      <c r="I111" s="32"/>
      <c r="J111" s="26"/>
      <c r="K111" s="34"/>
    </row>
    <row r="112" spans="1:11">
      <c r="A112" s="79" t="s">
        <v>460</v>
      </c>
      <c r="B112" s="79"/>
      <c r="C112" s="79"/>
      <c r="D112" s="26">
        <v>4000</v>
      </c>
      <c r="E112" s="84"/>
      <c r="F112" s="84"/>
      <c r="G112" s="84"/>
      <c r="H112" s="26">
        <v>2000</v>
      </c>
      <c r="I112" s="32"/>
      <c r="J112" s="26"/>
      <c r="K112" s="34"/>
    </row>
    <row r="113" spans="1:11">
      <c r="A113" s="79" t="s">
        <v>1156</v>
      </c>
      <c r="B113" s="79"/>
      <c r="C113" s="79"/>
      <c r="D113" s="79"/>
      <c r="E113" s="84"/>
      <c r="F113" s="26">
        <v>180</v>
      </c>
      <c r="G113" s="84"/>
      <c r="H113" s="26"/>
      <c r="I113" s="32"/>
      <c r="J113" s="26"/>
      <c r="K113" s="34"/>
    </row>
    <row r="114" spans="1:11">
      <c r="A114" s="79" t="s">
        <v>730</v>
      </c>
      <c r="B114" s="79"/>
      <c r="C114" s="79"/>
      <c r="D114" s="79"/>
      <c r="E114" s="84" t="s">
        <v>731</v>
      </c>
      <c r="F114" s="26">
        <v>34</v>
      </c>
      <c r="G114" s="84"/>
      <c r="H114" s="26"/>
      <c r="I114" s="32"/>
      <c r="J114" s="26"/>
      <c r="K114" s="34"/>
    </row>
    <row r="115" spans="1:11">
      <c r="A115" t="s">
        <v>602</v>
      </c>
      <c r="B115"/>
      <c r="C115"/>
      <c r="D115"/>
      <c r="E115" s="84"/>
      <c r="F115" s="26">
        <v>500</v>
      </c>
      <c r="G115" s="84"/>
      <c r="H115" s="26"/>
      <c r="I115" s="32"/>
      <c r="J115" s="26"/>
      <c r="K115" s="34"/>
    </row>
    <row r="116" spans="1:11">
      <c r="A116" s="7" t="s">
        <v>614</v>
      </c>
      <c r="B116" s="7"/>
      <c r="C116" s="7"/>
      <c r="D116" s="7"/>
      <c r="E116" s="84"/>
      <c r="F116" s="84"/>
      <c r="G116" s="84"/>
      <c r="H116" s="26">
        <v>118</v>
      </c>
      <c r="I116" s="32"/>
      <c r="J116" s="26"/>
      <c r="K116" s="34"/>
    </row>
    <row r="117" spans="1:11">
      <c r="A117" s="7" t="s">
        <v>722</v>
      </c>
      <c r="B117" s="7"/>
      <c r="C117" s="7"/>
      <c r="D117" s="7"/>
      <c r="E117" s="75" t="s">
        <v>723</v>
      </c>
      <c r="F117" s="26">
        <v>500</v>
      </c>
      <c r="G117" s="84"/>
      <c r="H117" s="26"/>
      <c r="I117" s="32"/>
      <c r="J117" s="26"/>
      <c r="K117" s="34"/>
    </row>
    <row r="118" spans="1:11">
      <c r="A118" s="7" t="s">
        <v>1193</v>
      </c>
      <c r="B118" s="7"/>
      <c r="C118" s="7"/>
      <c r="D118" s="7"/>
      <c r="E118" s="7" t="s">
        <v>1194</v>
      </c>
      <c r="F118" s="26">
        <v>200</v>
      </c>
      <c r="G118" s="84"/>
      <c r="H118" s="26"/>
      <c r="I118" s="32"/>
      <c r="J118" s="26"/>
      <c r="K118" s="34"/>
    </row>
    <row r="119" spans="1:11">
      <c r="A119" s="79" t="s">
        <v>613</v>
      </c>
      <c r="B119" s="79"/>
      <c r="C119" s="79"/>
      <c r="D119" s="79"/>
      <c r="E119" s="84"/>
      <c r="F119" s="84"/>
      <c r="G119" s="84"/>
      <c r="H119" s="26">
        <v>2500</v>
      </c>
      <c r="I119" s="32"/>
      <c r="J119" s="26"/>
      <c r="K119" s="34"/>
    </row>
    <row r="120" spans="1:11">
      <c r="A120" s="125" t="s">
        <v>733</v>
      </c>
      <c r="B120" s="125"/>
      <c r="C120" s="125"/>
      <c r="D120" s="125"/>
      <c r="E120" s="84"/>
      <c r="F120" s="26">
        <v>75</v>
      </c>
      <c r="G120" s="84"/>
      <c r="H120" s="26"/>
      <c r="I120" s="32"/>
      <c r="J120" s="26"/>
      <c r="K120" s="34"/>
    </row>
    <row r="121" spans="1:11">
      <c r="A121" s="24" t="s">
        <v>96</v>
      </c>
      <c r="I121" s="42">
        <v>100</v>
      </c>
      <c r="J121" s="26">
        <v>50</v>
      </c>
      <c r="K121" s="34">
        <v>50</v>
      </c>
    </row>
    <row r="122" spans="1:11">
      <c r="A122" s="24" t="s">
        <v>1014</v>
      </c>
      <c r="F122" s="26">
        <v>180</v>
      </c>
      <c r="I122" s="42"/>
      <c r="J122" s="26"/>
      <c r="K122" s="34"/>
    </row>
    <row r="123" spans="1:11">
      <c r="A123" t="s">
        <v>724</v>
      </c>
      <c r="B123"/>
      <c r="C123"/>
      <c r="D123"/>
      <c r="E123" s="75" t="s">
        <v>725</v>
      </c>
      <c r="F123" s="26">
        <v>100</v>
      </c>
      <c r="I123" s="42"/>
      <c r="J123" s="26"/>
      <c r="K123" s="34"/>
    </row>
    <row r="124" spans="1:11">
      <c r="A124" t="s">
        <v>761</v>
      </c>
      <c r="B124"/>
      <c r="C124"/>
      <c r="D124"/>
      <c r="E124" s="75"/>
      <c r="F124" s="26">
        <v>180</v>
      </c>
      <c r="I124" s="42"/>
      <c r="J124" s="26"/>
      <c r="K124" s="34"/>
    </row>
    <row r="125" spans="1:11" ht="15.5">
      <c r="A125" t="s">
        <v>601</v>
      </c>
      <c r="B125"/>
      <c r="C125" s="117"/>
      <c r="D125"/>
      <c r="H125" s="26">
        <v>360</v>
      </c>
      <c r="I125" s="42"/>
      <c r="J125" s="26"/>
      <c r="K125" s="34"/>
    </row>
    <row r="126" spans="1:11">
      <c r="A126" t="s">
        <v>736</v>
      </c>
      <c r="B126"/>
      <c r="C126" s="26">
        <v>250</v>
      </c>
      <c r="D126"/>
      <c r="F126" s="26">
        <v>180</v>
      </c>
      <c r="H126" s="26"/>
      <c r="I126" s="42"/>
      <c r="J126" s="26"/>
      <c r="K126" s="34"/>
    </row>
    <row r="127" spans="1:11">
      <c r="A127" t="s">
        <v>822</v>
      </c>
      <c r="B127"/>
      <c r="C127" s="7"/>
      <c r="D127"/>
      <c r="F127" s="26">
        <v>18</v>
      </c>
      <c r="H127" s="26"/>
      <c r="I127" s="42"/>
      <c r="J127" s="26"/>
      <c r="K127" s="34"/>
    </row>
    <row r="128" spans="1:11">
      <c r="A128" t="s">
        <v>643</v>
      </c>
      <c r="B128"/>
      <c r="C128" s="7"/>
      <c r="D128"/>
      <c r="H128" s="26">
        <v>500</v>
      </c>
      <c r="I128" s="42"/>
      <c r="J128" s="26"/>
      <c r="K128" s="34"/>
    </row>
    <row r="129" spans="1:13">
      <c r="A129" s="24" t="s">
        <v>107</v>
      </c>
      <c r="C129" s="79"/>
      <c r="E129" s="27" t="s">
        <v>108</v>
      </c>
      <c r="F129" s="37">
        <v>36</v>
      </c>
      <c r="G129" s="27"/>
      <c r="H129" s="27"/>
      <c r="I129" s="27"/>
      <c r="J129" s="26">
        <v>25</v>
      </c>
      <c r="K129" s="34"/>
    </row>
    <row r="130" spans="1:13">
      <c r="A130" s="31" t="s">
        <v>84</v>
      </c>
      <c r="B130" s="31"/>
      <c r="C130" s="79"/>
      <c r="D130" s="31"/>
      <c r="E130" s="32" t="s">
        <v>85</v>
      </c>
      <c r="F130" s="32"/>
      <c r="G130" s="32"/>
      <c r="H130" s="32"/>
      <c r="I130" s="32"/>
      <c r="J130" s="26">
        <v>250</v>
      </c>
      <c r="K130" s="34"/>
    </row>
    <row r="131" spans="1:13">
      <c r="A131" s="31" t="s">
        <v>115</v>
      </c>
      <c r="B131" s="31"/>
      <c r="C131" s="79"/>
      <c r="D131" s="26">
        <v>200</v>
      </c>
      <c r="E131" s="37">
        <v>1000</v>
      </c>
      <c r="F131" s="32"/>
      <c r="G131" s="32"/>
      <c r="H131" s="26">
        <f>200+1000</f>
        <v>1200</v>
      </c>
      <c r="I131" s="34">
        <f>1000+300+1000</f>
        <v>2300</v>
      </c>
      <c r="J131" s="26"/>
      <c r="K131" s="34">
        <v>3000</v>
      </c>
    </row>
    <row r="132" spans="1:13">
      <c r="A132" s="36" t="s">
        <v>144</v>
      </c>
      <c r="B132" s="36"/>
      <c r="C132" s="49">
        <f>200-200</f>
        <v>0</v>
      </c>
      <c r="D132" s="37">
        <v>1200</v>
      </c>
      <c r="E132" s="37">
        <v>360</v>
      </c>
      <c r="F132" s="26">
        <f>1800+1500</f>
        <v>3300</v>
      </c>
      <c r="G132" s="49">
        <v>200</v>
      </c>
      <c r="H132" s="49">
        <v>200</v>
      </c>
      <c r="I132" s="49">
        <v>1500</v>
      </c>
      <c r="J132" s="37">
        <v>300</v>
      </c>
      <c r="K132" s="34"/>
      <c r="L132" s="29" t="s">
        <v>287</v>
      </c>
    </row>
    <row r="133" spans="1:13">
      <c r="A133" s="11" t="s">
        <v>506</v>
      </c>
      <c r="B133" s="41">
        <v>200</v>
      </c>
      <c r="C133" s="41">
        <v>200</v>
      </c>
      <c r="D133" s="41">
        <v>200</v>
      </c>
      <c r="E133"/>
      <c r="G133" s="41">
        <v>200</v>
      </c>
      <c r="I133" s="41">
        <v>200</v>
      </c>
      <c r="K133" s="41">
        <v>200</v>
      </c>
    </row>
    <row r="134" spans="1:13">
      <c r="A134" s="11" t="s">
        <v>507</v>
      </c>
      <c r="B134" s="11"/>
      <c r="C134" s="7"/>
      <c r="D134" s="79"/>
      <c r="E134"/>
      <c r="F134" s="49">
        <f>2.5+1</f>
        <v>3.5</v>
      </c>
      <c r="G134"/>
      <c r="H134" s="49">
        <v>2.5</v>
      </c>
      <c r="I134" s="41"/>
    </row>
    <row r="135" spans="1:13">
      <c r="A135" s="24" t="s">
        <v>1177</v>
      </c>
      <c r="C135" s="49">
        <v>15</v>
      </c>
      <c r="D135" s="26">
        <v>500</v>
      </c>
      <c r="E135"/>
      <c r="F135" s="26">
        <v>360</v>
      </c>
      <c r="G135"/>
      <c r="H135"/>
      <c r="I135"/>
    </row>
    <row r="136" spans="1:13">
      <c r="A136" s="24" t="s">
        <v>1880</v>
      </c>
      <c r="B136" s="41">
        <v>100</v>
      </c>
      <c r="C136" s="34">
        <v>200</v>
      </c>
      <c r="D136" s="26"/>
      <c r="E136"/>
      <c r="F136" s="26"/>
      <c r="G136"/>
      <c r="H136"/>
      <c r="I136"/>
    </row>
    <row r="137" spans="1:13">
      <c r="A137" s="111" t="s">
        <v>599</v>
      </c>
      <c r="B137" s="111"/>
      <c r="C137" s="79"/>
      <c r="D137" s="26">
        <v>500</v>
      </c>
      <c r="E137"/>
      <c r="F137" s="26">
        <v>180</v>
      </c>
      <c r="G137"/>
      <c r="H137" s="26">
        <v>200</v>
      </c>
      <c r="I137"/>
    </row>
    <row r="138" spans="1:13">
      <c r="A138" s="111" t="s">
        <v>1873</v>
      </c>
      <c r="B138" s="111"/>
      <c r="C138" s="49">
        <v>18</v>
      </c>
      <c r="D138" s="26">
        <v>85</v>
      </c>
      <c r="E138"/>
      <c r="F138" s="26"/>
      <c r="G138"/>
      <c r="H138" s="26"/>
      <c r="I138"/>
    </row>
    <row r="139" spans="1:13">
      <c r="A139" s="111" t="s">
        <v>1601</v>
      </c>
      <c r="B139" s="41">
        <v>100</v>
      </c>
      <c r="C139" s="26">
        <v>500</v>
      </c>
      <c r="D139" s="26"/>
      <c r="E139"/>
      <c r="F139" s="26"/>
      <c r="G139"/>
      <c r="H139" s="26"/>
      <c r="I139"/>
    </row>
    <row r="140" spans="1:13">
      <c r="A140" s="29" t="s">
        <v>114</v>
      </c>
      <c r="B140" s="29"/>
      <c r="C140" s="37">
        <v>180</v>
      </c>
      <c r="D140" s="37">
        <v>180</v>
      </c>
      <c r="E140" s="27" t="s">
        <v>113</v>
      </c>
      <c r="F140" s="37">
        <v>150</v>
      </c>
      <c r="G140" s="37">
        <v>180</v>
      </c>
      <c r="H140" s="37">
        <v>150</v>
      </c>
      <c r="I140" s="27"/>
      <c r="J140" s="37">
        <v>150</v>
      </c>
      <c r="K140" s="34"/>
      <c r="L140" s="29" t="s">
        <v>110</v>
      </c>
    </row>
    <row r="141" spans="1:13" ht="15.5">
      <c r="A141" s="144" t="s">
        <v>1160</v>
      </c>
      <c r="B141" s="144"/>
      <c r="C141" s="26">
        <v>800</v>
      </c>
      <c r="D141" s="144"/>
      <c r="E141" s="27"/>
      <c r="F141" s="26">
        <v>180</v>
      </c>
      <c r="G141" s="27"/>
      <c r="H141" s="27"/>
      <c r="I141" s="27"/>
      <c r="J141" s="27"/>
      <c r="K141" s="34"/>
      <c r="L141" s="27"/>
      <c r="M141" s="27"/>
    </row>
    <row r="142" spans="1:13">
      <c r="A142" s="31" t="s">
        <v>79</v>
      </c>
      <c r="B142" s="31"/>
      <c r="C142"/>
      <c r="D142" s="31"/>
      <c r="E142" s="32" t="s">
        <v>80</v>
      </c>
      <c r="F142" s="32"/>
      <c r="G142" s="32"/>
      <c r="H142" s="26">
        <f>150+36+67</f>
        <v>253</v>
      </c>
      <c r="I142" s="32"/>
      <c r="J142" s="26">
        <f>100+7</f>
        <v>107</v>
      </c>
      <c r="K142" s="34"/>
    </row>
    <row r="143" spans="1:13">
      <c r="A143" s="31" t="s">
        <v>1698</v>
      </c>
      <c r="B143" s="31"/>
      <c r="C143" s="26">
        <v>50</v>
      </c>
      <c r="D143" s="31"/>
      <c r="E143" s="32"/>
      <c r="F143" s="32"/>
      <c r="G143" s="32"/>
      <c r="H143" s="26"/>
      <c r="I143" s="32"/>
      <c r="J143" s="26"/>
      <c r="K143" s="34"/>
    </row>
    <row r="144" spans="1:13">
      <c r="A144" s="79" t="s">
        <v>682</v>
      </c>
      <c r="B144" s="79"/>
      <c r="C144" s="49">
        <v>150</v>
      </c>
      <c r="D144" s="49">
        <v>150</v>
      </c>
      <c r="E144" s="32"/>
      <c r="F144" s="151">
        <f>L235/2</f>
        <v>1950</v>
      </c>
      <c r="G144" s="32"/>
      <c r="H144" s="100">
        <v>65</v>
      </c>
      <c r="I144" s="32"/>
      <c r="J144" s="26"/>
      <c r="K144" s="34"/>
    </row>
    <row r="145" spans="1:12">
      <c r="A145" s="79" t="s">
        <v>431</v>
      </c>
      <c r="B145" s="79"/>
      <c r="C145" s="7"/>
      <c r="D145" s="79"/>
      <c r="E145" s="32"/>
      <c r="F145" s="32"/>
      <c r="G145" s="32"/>
      <c r="H145" s="26"/>
      <c r="I145" s="42">
        <v>150</v>
      </c>
      <c r="J145" s="26"/>
      <c r="K145" s="34"/>
    </row>
    <row r="146" spans="1:12">
      <c r="A146" s="31" t="s">
        <v>195</v>
      </c>
      <c r="B146" s="31"/>
      <c r="C146" s="7"/>
      <c r="D146" s="31"/>
      <c r="E146" s="84"/>
      <c r="F146" s="84"/>
      <c r="G146" s="84"/>
      <c r="H146" s="32"/>
      <c r="I146" s="32"/>
      <c r="J146" s="26"/>
      <c r="K146" s="34">
        <v>100</v>
      </c>
    </row>
    <row r="147" spans="1:12">
      <c r="A147" s="79" t="s">
        <v>570</v>
      </c>
      <c r="B147" s="79"/>
      <c r="C147" s="79"/>
      <c r="D147" s="79"/>
      <c r="E147" s="84"/>
      <c r="F147" s="84"/>
      <c r="G147" s="84"/>
      <c r="H147" s="90">
        <f>180+180</f>
        <v>360</v>
      </c>
      <c r="I147" s="100">
        <v>300</v>
      </c>
      <c r="J147" s="26"/>
      <c r="K147" s="34"/>
    </row>
    <row r="148" spans="1:12">
      <c r="A148" s="79" t="s">
        <v>521</v>
      </c>
      <c r="B148" s="79"/>
      <c r="C148" s="125"/>
      <c r="D148" s="26">
        <v>600</v>
      </c>
      <c r="E148" s="84"/>
      <c r="F148" s="49">
        <v>1000</v>
      </c>
      <c r="G148" s="84"/>
      <c r="H148" s="90">
        <f>500+250</f>
        <v>750</v>
      </c>
      <c r="I148" s="100">
        <v>500</v>
      </c>
      <c r="J148" s="26">
        <v>4000</v>
      </c>
      <c r="K148" s="34"/>
    </row>
    <row r="149" spans="1:12">
      <c r="A149" s="36" t="s">
        <v>63</v>
      </c>
      <c r="B149" s="36"/>
      <c r="C149" s="49">
        <v>200</v>
      </c>
      <c r="D149" s="49">
        <v>200</v>
      </c>
      <c r="E149" s="27" t="s">
        <v>71</v>
      </c>
      <c r="F149" s="49">
        <v>200</v>
      </c>
      <c r="G149" s="26">
        <f>2100+260</f>
        <v>2360</v>
      </c>
      <c r="H149" s="49">
        <v>200</v>
      </c>
      <c r="I149" s="27"/>
      <c r="J149" s="37">
        <v>200</v>
      </c>
      <c r="K149" s="34">
        <v>2200</v>
      </c>
    </row>
    <row r="150" spans="1:12">
      <c r="A150" s="8" t="s">
        <v>828</v>
      </c>
      <c r="B150" s="8"/>
      <c r="D150" s="8"/>
      <c r="E150" s="75" t="s">
        <v>829</v>
      </c>
      <c r="F150" s="26">
        <v>54</v>
      </c>
      <c r="G150" s="27"/>
      <c r="H150" s="27"/>
      <c r="I150" s="27"/>
      <c r="J150" s="27"/>
      <c r="K150" s="34"/>
    </row>
    <row r="151" spans="1:12" ht="15.5">
      <c r="A151" s="7" t="s">
        <v>610</v>
      </c>
      <c r="B151" s="7"/>
      <c r="C151" s="117"/>
      <c r="D151" s="7"/>
      <c r="E151" s="27"/>
      <c r="F151" s="26">
        <v>1200</v>
      </c>
      <c r="G151" s="27"/>
      <c r="H151" s="26">
        <v>1200</v>
      </c>
      <c r="I151" s="27"/>
      <c r="J151" s="27"/>
      <c r="K151" s="34"/>
    </row>
    <row r="152" spans="1:12" ht="15.5">
      <c r="A152" s="140" t="s">
        <v>832</v>
      </c>
      <c r="B152" s="140"/>
      <c r="C152" s="117"/>
      <c r="D152" s="26">
        <v>100</v>
      </c>
      <c r="E152" s="34"/>
      <c r="F152" s="26">
        <f>1000+200+360+2000</f>
        <v>3560</v>
      </c>
      <c r="G152" s="34"/>
      <c r="H152" s="90">
        <f>500+525+2400</f>
        <v>3425</v>
      </c>
      <c r="I152" s="34"/>
      <c r="J152" s="26">
        <v>1000</v>
      </c>
      <c r="K152" s="34"/>
    </row>
    <row r="153" spans="1:12">
      <c r="A153" s="31" t="s">
        <v>74</v>
      </c>
      <c r="B153" s="31"/>
      <c r="C153" s="7"/>
      <c r="D153" s="26">
        <v>500</v>
      </c>
      <c r="E153" s="27" t="s">
        <v>75</v>
      </c>
      <c r="F153" s="26">
        <v>180</v>
      </c>
      <c r="G153" s="27"/>
      <c r="H153" s="26">
        <v>100</v>
      </c>
      <c r="I153" s="27"/>
      <c r="J153" s="26">
        <v>100</v>
      </c>
      <c r="K153" s="34"/>
    </row>
    <row r="154" spans="1:12">
      <c r="A154" s="79" t="s">
        <v>666</v>
      </c>
      <c r="B154" s="79"/>
      <c r="C154" s="7"/>
      <c r="D154" s="79"/>
      <c r="E154" s="27"/>
      <c r="F154" s="26">
        <v>1000</v>
      </c>
      <c r="G154" s="27"/>
      <c r="H154" s="26">
        <f>1000+1000</f>
        <v>2000</v>
      </c>
      <c r="I154" s="27"/>
      <c r="J154" s="26"/>
      <c r="K154" s="34"/>
    </row>
    <row r="155" spans="1:12">
      <c r="A155" s="31" t="s">
        <v>86</v>
      </c>
      <c r="B155" s="31"/>
      <c r="C155" s="79"/>
      <c r="D155" s="31"/>
      <c r="E155" s="27" t="s">
        <v>87</v>
      </c>
      <c r="F155" s="37">
        <v>10</v>
      </c>
      <c r="G155" s="27"/>
      <c r="H155" s="27"/>
      <c r="I155" s="27"/>
      <c r="J155" s="26"/>
      <c r="K155" s="34">
        <v>120</v>
      </c>
      <c r="L155" s="24" t="s">
        <v>112</v>
      </c>
    </row>
    <row r="156" spans="1:12">
      <c r="A156" s="79" t="s">
        <v>1728</v>
      </c>
      <c r="B156" s="79"/>
      <c r="C156" s="26">
        <v>3065</v>
      </c>
      <c r="D156" s="31"/>
      <c r="E156" s="27"/>
      <c r="F156" s="37"/>
      <c r="G156" s="27"/>
      <c r="H156" s="27"/>
      <c r="I156" s="27"/>
      <c r="J156" s="26"/>
      <c r="K156" s="34"/>
    </row>
    <row r="157" spans="1:12">
      <c r="A157" s="26" t="s">
        <v>375</v>
      </c>
      <c r="B157" s="26"/>
      <c r="C157" s="79"/>
      <c r="D157" s="26"/>
      <c r="E157" s="27"/>
      <c r="F157" s="27"/>
      <c r="G157" s="27"/>
      <c r="H157" s="27"/>
      <c r="I157" s="27"/>
      <c r="J157" s="26">
        <v>1420</v>
      </c>
      <c r="K157" s="26"/>
    </row>
    <row r="158" spans="1:12">
      <c r="A158" s="26" t="s">
        <v>1696</v>
      </c>
      <c r="B158" s="26"/>
      <c r="C158" s="26">
        <v>36</v>
      </c>
      <c r="D158" s="26"/>
      <c r="E158" s="27"/>
      <c r="F158" s="27"/>
      <c r="G158" s="27"/>
      <c r="H158" s="27"/>
      <c r="I158" s="27"/>
      <c r="J158" s="26"/>
      <c r="K158" s="26"/>
    </row>
    <row r="159" spans="1:12" ht="15.5">
      <c r="A159" s="8" t="s">
        <v>764</v>
      </c>
      <c r="B159" s="8"/>
      <c r="C159" s="117"/>
      <c r="D159" s="8"/>
      <c r="E159" s="27"/>
      <c r="F159" s="26">
        <f>180+50</f>
        <v>230</v>
      </c>
      <c r="G159" s="27"/>
      <c r="H159" s="27"/>
      <c r="I159" s="27"/>
      <c r="J159" s="26"/>
      <c r="K159" s="26"/>
    </row>
    <row r="160" spans="1:12" ht="15.5">
      <c r="A160" s="8" t="s">
        <v>786</v>
      </c>
      <c r="B160" s="8"/>
      <c r="C160" s="117"/>
      <c r="D160" s="26">
        <v>500</v>
      </c>
      <c r="E160" s="27"/>
      <c r="F160" s="26">
        <f>1800+300+600+1000+600+600+600</f>
        <v>5500</v>
      </c>
      <c r="G160" s="27"/>
      <c r="H160" s="27"/>
      <c r="I160" s="27"/>
      <c r="J160" s="26"/>
      <c r="K160" s="26"/>
    </row>
    <row r="161" spans="1:19">
      <c r="A161" s="8" t="s">
        <v>1371</v>
      </c>
      <c r="B161" s="8"/>
      <c r="C161" s="7"/>
      <c r="D161" s="8"/>
      <c r="E161" s="27"/>
      <c r="F161" s="26">
        <v>1800</v>
      </c>
      <c r="G161" s="27"/>
      <c r="H161" s="27"/>
      <c r="I161" s="27"/>
      <c r="J161" s="26"/>
      <c r="K161" s="26"/>
    </row>
    <row r="162" spans="1:19">
      <c r="A162" s="81" t="s">
        <v>463</v>
      </c>
      <c r="B162" s="81"/>
      <c r="C162" s="7"/>
      <c r="D162" s="81"/>
      <c r="E162" s="27"/>
      <c r="F162" s="27"/>
      <c r="G162" s="27"/>
      <c r="H162" s="26">
        <v>200</v>
      </c>
      <c r="I162" s="27"/>
      <c r="J162" s="26"/>
      <c r="K162" s="26"/>
    </row>
    <row r="163" spans="1:19" ht="15.5">
      <c r="A163" s="94" t="s">
        <v>518</v>
      </c>
      <c r="B163" s="94"/>
      <c r="C163" s="79"/>
      <c r="D163" s="79"/>
      <c r="E163" s="93"/>
      <c r="F163" s="93"/>
      <c r="G163" s="93"/>
      <c r="H163" s="44">
        <v>150</v>
      </c>
      <c r="I163" s="27"/>
      <c r="J163" s="26"/>
      <c r="K163" s="26"/>
    </row>
    <row r="164" spans="1:19">
      <c r="A164" s="24" t="s">
        <v>199</v>
      </c>
      <c r="B164" s="37">
        <v>50</v>
      </c>
      <c r="C164" s="37">
        <v>50</v>
      </c>
      <c r="E164" s="27"/>
      <c r="F164" s="27"/>
      <c r="G164" s="27"/>
      <c r="H164" s="26">
        <v>250</v>
      </c>
      <c r="I164" s="27"/>
      <c r="J164" s="26">
        <v>100</v>
      </c>
    </row>
    <row r="165" spans="1:19">
      <c r="A165" s="29" t="s">
        <v>104</v>
      </c>
      <c r="B165" s="37">
        <v>360</v>
      </c>
      <c r="C165" s="49">
        <f>300-300</f>
        <v>0</v>
      </c>
      <c r="D165" s="26">
        <v>1680</v>
      </c>
      <c r="E165" s="24" t="s">
        <v>105</v>
      </c>
      <c r="J165" s="26">
        <v>150</v>
      </c>
      <c r="K165" s="34"/>
      <c r="L165" s="29" t="s">
        <v>110</v>
      </c>
    </row>
    <row r="166" spans="1:19" ht="15.5">
      <c r="A166" s="144" t="s">
        <v>1161</v>
      </c>
      <c r="B166" s="144"/>
      <c r="C166"/>
      <c r="D166" s="144"/>
      <c r="F166" s="26">
        <v>36</v>
      </c>
      <c r="J166" s="26"/>
      <c r="K166" s="34"/>
      <c r="L166" s="93"/>
    </row>
    <row r="167" spans="1:19" ht="15.5">
      <c r="A167" s="144" t="s">
        <v>1906</v>
      </c>
      <c r="B167" s="41">
        <v>15</v>
      </c>
      <c r="C167" s="26">
        <v>38</v>
      </c>
      <c r="D167" s="144"/>
      <c r="F167" s="26"/>
      <c r="J167" s="26"/>
      <c r="K167" s="34"/>
      <c r="L167" s="93"/>
    </row>
    <row r="168" spans="1:19">
      <c r="A168" t="s">
        <v>466</v>
      </c>
      <c r="B168"/>
      <c r="C168" s="7"/>
      <c r="D168"/>
      <c r="E168"/>
      <c r="F168"/>
      <c r="G168"/>
      <c r="H168" s="26">
        <v>143</v>
      </c>
      <c r="K168" s="34"/>
      <c r="O168" s="24" t="s">
        <v>315</v>
      </c>
    </row>
    <row r="169" spans="1:19">
      <c r="A169" s="7" t="s">
        <v>609</v>
      </c>
      <c r="B169" s="7"/>
      <c r="C169" s="7"/>
      <c r="D169" s="7"/>
      <c r="E169"/>
      <c r="F169" s="26">
        <v>100</v>
      </c>
      <c r="G169"/>
      <c r="H169" s="26">
        <v>136</v>
      </c>
      <c r="K169" s="34"/>
    </row>
    <row r="170" spans="1:19">
      <c r="A170" s="29" t="s">
        <v>124</v>
      </c>
      <c r="B170" s="29"/>
      <c r="C170" s="26">
        <v>133</v>
      </c>
      <c r="D170" s="8"/>
      <c r="I170" s="42">
        <v>70</v>
      </c>
      <c r="J170" s="26">
        <f>2500+2700+5400+5400+1000</f>
        <v>17000</v>
      </c>
      <c r="K170" s="34">
        <v>100</v>
      </c>
      <c r="O170" s="24" t="s">
        <v>316</v>
      </c>
      <c r="S170" s="24" t="s">
        <v>322</v>
      </c>
    </row>
    <row r="171" spans="1:19">
      <c r="A171" s="24" t="s">
        <v>66</v>
      </c>
      <c r="C171" s="81"/>
      <c r="D171" s="81"/>
      <c r="G171" s="126">
        <v>500</v>
      </c>
      <c r="H171" s="26">
        <v>5000</v>
      </c>
      <c r="K171" s="34">
        <v>100</v>
      </c>
      <c r="O171" s="24" t="s">
        <v>317</v>
      </c>
      <c r="Q171" s="43" t="s">
        <v>13</v>
      </c>
      <c r="S171" s="44">
        <v>500</v>
      </c>
    </row>
    <row r="172" spans="1:19">
      <c r="A172" t="s">
        <v>165</v>
      </c>
      <c r="B172"/>
      <c r="C172" s="125"/>
      <c r="D172" s="79"/>
      <c r="F172" s="44">
        <f>G267-F262*13-G265/3.62</f>
        <v>2036</v>
      </c>
      <c r="H172" s="44">
        <f>O253-F262*12</f>
        <v>2699.5714285714284</v>
      </c>
      <c r="K172" s="34"/>
      <c r="Q172" s="43"/>
      <c r="S172" s="44"/>
    </row>
    <row r="173" spans="1:19">
      <c r="A173" t="s">
        <v>1679</v>
      </c>
      <c r="B173"/>
      <c r="D173" s="44"/>
      <c r="J173" s="26"/>
      <c r="K173" s="34">
        <v>20</v>
      </c>
      <c r="O173" s="24">
        <v>2500</v>
      </c>
      <c r="Q173" s="43" t="s">
        <v>10</v>
      </c>
      <c r="S173" s="44">
        <v>500</v>
      </c>
    </row>
    <row r="174" spans="1:19">
      <c r="A174" s="24" t="s">
        <v>1708</v>
      </c>
      <c r="C174" s="37">
        <f>800-800</f>
        <v>0</v>
      </c>
      <c r="D174" s="79"/>
      <c r="O174" s="24" t="s">
        <v>318</v>
      </c>
      <c r="Q174" s="46" t="s">
        <v>6</v>
      </c>
      <c r="S174" s="44">
        <v>500</v>
      </c>
    </row>
    <row r="175" spans="1:19" ht="15.5">
      <c r="A175" s="45" t="s">
        <v>146</v>
      </c>
      <c r="B175" s="45"/>
      <c r="C175"/>
      <c r="D175" s="144"/>
      <c r="E175" s="47"/>
      <c r="F175" s="47"/>
      <c r="G175" s="47"/>
      <c r="H175" s="47"/>
      <c r="I175" s="47"/>
      <c r="K175" s="34">
        <f>200+400+50</f>
        <v>650</v>
      </c>
      <c r="O175" s="24">
        <v>5400</v>
      </c>
      <c r="Q175" s="43" t="s">
        <v>7</v>
      </c>
      <c r="S175" s="44">
        <v>500</v>
      </c>
    </row>
    <row r="176" spans="1:19">
      <c r="A176" s="24" t="s">
        <v>97</v>
      </c>
      <c r="C176" s="44">
        <v>300</v>
      </c>
      <c r="D176"/>
      <c r="E176" s="47"/>
      <c r="F176" s="47"/>
      <c r="G176" s="47"/>
      <c r="H176" s="47"/>
      <c r="I176" s="47"/>
      <c r="K176" s="34"/>
      <c r="O176" s="24" t="s">
        <v>319</v>
      </c>
      <c r="Q176" s="43" t="s">
        <v>196</v>
      </c>
      <c r="S176" s="44">
        <v>500</v>
      </c>
    </row>
    <row r="177" spans="1:23">
      <c r="A177" s="24" t="s">
        <v>1700</v>
      </c>
      <c r="C177" s="37">
        <v>30</v>
      </c>
      <c r="D177" s="7"/>
      <c r="H177" s="49">
        <v>18</v>
      </c>
      <c r="I177" s="42">
        <v>105</v>
      </c>
      <c r="J177" s="44">
        <v>500</v>
      </c>
      <c r="K177" s="34"/>
      <c r="O177" s="24" t="s">
        <v>320</v>
      </c>
      <c r="Q177" s="24" t="s">
        <v>11</v>
      </c>
      <c r="S177" s="44">
        <v>500</v>
      </c>
      <c r="W177" s="44"/>
    </row>
    <row r="178" spans="1:23">
      <c r="A178" s="24" t="s">
        <v>1908</v>
      </c>
      <c r="B178" s="44">
        <v>47</v>
      </c>
      <c r="C178" s="37"/>
      <c r="D178" s="7"/>
      <c r="H178" s="49"/>
      <c r="I178" s="42"/>
      <c r="J178" s="44"/>
      <c r="K178" s="34"/>
      <c r="S178" s="44"/>
      <c r="W178" s="44"/>
    </row>
    <row r="179" spans="1:23">
      <c r="A179" s="24" t="s">
        <v>1847</v>
      </c>
      <c r="C179" s="44">
        <v>180</v>
      </c>
      <c r="D179" s="7"/>
      <c r="H179" s="49"/>
      <c r="I179" s="42"/>
      <c r="J179" s="44"/>
      <c r="K179" s="34"/>
      <c r="S179" s="44"/>
      <c r="W179" s="44"/>
    </row>
    <row r="180" spans="1:23">
      <c r="A180" s="24" t="s">
        <v>98</v>
      </c>
      <c r="D180" s="8"/>
      <c r="E180" s="27" t="s">
        <v>99</v>
      </c>
      <c r="F180" s="27"/>
      <c r="G180" s="27"/>
      <c r="H180" s="27"/>
      <c r="I180" s="41">
        <v>50</v>
      </c>
      <c r="J180" t="s">
        <v>411</v>
      </c>
      <c r="K180" s="41">
        <v>50</v>
      </c>
      <c r="L180" s="29" t="s">
        <v>290</v>
      </c>
      <c r="O180" s="24" t="s">
        <v>321</v>
      </c>
      <c r="Q180" s="48" t="s">
        <v>14</v>
      </c>
      <c r="S180" s="44">
        <v>500</v>
      </c>
    </row>
    <row r="181" spans="1:23">
      <c r="A181" s="24" t="s">
        <v>100</v>
      </c>
      <c r="C181" s="49">
        <v>36</v>
      </c>
      <c r="D181" s="81"/>
      <c r="F181" s="49">
        <v>10</v>
      </c>
      <c r="H181" s="49">
        <v>10</v>
      </c>
      <c r="J181" s="49">
        <v>10</v>
      </c>
      <c r="K181" s="34"/>
      <c r="Q181" s="50" t="s">
        <v>335</v>
      </c>
      <c r="S181" s="44">
        <v>500</v>
      </c>
    </row>
    <row r="182" spans="1:23">
      <c r="A182" t="s">
        <v>404</v>
      </c>
      <c r="B182" s="49">
        <v>36</v>
      </c>
      <c r="C182" s="49">
        <v>18</v>
      </c>
      <c r="D182" s="49">
        <v>18</v>
      </c>
      <c r="E182" s="27" t="s">
        <v>101</v>
      </c>
      <c r="F182" s="49">
        <v>18</v>
      </c>
      <c r="G182" s="27"/>
      <c r="H182" s="27"/>
      <c r="I182" s="41">
        <v>54</v>
      </c>
      <c r="K182" s="41">
        <v>54</v>
      </c>
      <c r="O182" s="24" t="s">
        <v>323</v>
      </c>
      <c r="Q182" s="24" t="s">
        <v>349</v>
      </c>
      <c r="S182" s="44">
        <v>500</v>
      </c>
    </row>
    <row r="183" spans="1:23">
      <c r="A183" t="s">
        <v>1704</v>
      </c>
      <c r="B183"/>
      <c r="C183" s="44">
        <v>300</v>
      </c>
      <c r="D183" s="27"/>
      <c r="E183" s="27"/>
      <c r="F183" s="27"/>
      <c r="G183" s="27"/>
      <c r="H183" s="27"/>
      <c r="I183" s="27"/>
      <c r="K183" s="27"/>
      <c r="S183" s="44"/>
    </row>
    <row r="184" spans="1:23">
      <c r="A184" t="s">
        <v>1907</v>
      </c>
      <c r="B184" s="44">
        <v>85</v>
      </c>
      <c r="C184" s="49">
        <v>5</v>
      </c>
      <c r="D184" s="27"/>
      <c r="E184" s="27"/>
      <c r="F184" s="27"/>
      <c r="G184" s="27"/>
      <c r="H184" s="27"/>
      <c r="I184" s="27"/>
      <c r="K184" s="27"/>
      <c r="S184" s="44"/>
    </row>
    <row r="185" spans="1:23">
      <c r="A185" t="s">
        <v>634</v>
      </c>
      <c r="B185"/>
      <c r="C185"/>
      <c r="E185" s="27"/>
      <c r="F185" s="27"/>
      <c r="G185" s="27"/>
      <c r="H185" s="26">
        <v>200</v>
      </c>
      <c r="I185" s="27"/>
      <c r="K185" s="27"/>
      <c r="S185" s="44"/>
    </row>
    <row r="186" spans="1:23">
      <c r="A186" s="24" t="s">
        <v>102</v>
      </c>
      <c r="B186" s="49">
        <v>30</v>
      </c>
      <c r="C186" s="27"/>
      <c r="D186" s="27"/>
      <c r="E186" s="27" t="s">
        <v>103</v>
      </c>
      <c r="F186" s="27"/>
      <c r="G186" s="27"/>
      <c r="H186" s="27"/>
      <c r="I186" s="27"/>
      <c r="J186" s="34"/>
      <c r="K186" s="34"/>
      <c r="S186" s="44"/>
    </row>
    <row r="187" spans="1:23">
      <c r="A187" t="s">
        <v>1706</v>
      </c>
      <c r="B187"/>
      <c r="C187" s="44">
        <v>20</v>
      </c>
      <c r="D187" s="27"/>
      <c r="E187" s="27"/>
      <c r="F187" s="27"/>
      <c r="G187" s="27"/>
      <c r="H187" s="27"/>
      <c r="I187" s="27"/>
      <c r="J187" s="34"/>
      <c r="K187" s="34"/>
      <c r="S187" s="44"/>
    </row>
    <row r="188" spans="1:23">
      <c r="A188" s="24" t="s">
        <v>1702</v>
      </c>
      <c r="C188" s="26">
        <v>100</v>
      </c>
      <c r="D188" s="27"/>
      <c r="E188" s="27"/>
      <c r="F188" s="27"/>
      <c r="G188" s="27"/>
      <c r="H188" s="27"/>
      <c r="I188" s="27"/>
      <c r="J188" s="34"/>
      <c r="K188" s="34"/>
      <c r="S188" s="44"/>
    </row>
    <row r="189" spans="1:23">
      <c r="A189" t="s">
        <v>741</v>
      </c>
      <c r="B189"/>
      <c r="C189"/>
      <c r="D189" s="8"/>
      <c r="E189" s="27"/>
      <c r="F189" s="27"/>
      <c r="G189" s="126">
        <v>100</v>
      </c>
      <c r="H189" s="27"/>
      <c r="I189" s="27"/>
      <c r="J189" s="34"/>
      <c r="K189" s="34"/>
      <c r="S189" s="44"/>
    </row>
    <row r="190" spans="1:23">
      <c r="A190" t="s">
        <v>1705</v>
      </c>
      <c r="B190"/>
      <c r="C190" s="8"/>
      <c r="D190" s="8"/>
      <c r="E190" s="27"/>
      <c r="F190" s="27"/>
      <c r="G190" s="126"/>
      <c r="H190" s="27"/>
      <c r="I190" s="27"/>
      <c r="J190" s="34"/>
      <c r="K190" s="34"/>
      <c r="S190" s="44"/>
    </row>
    <row r="191" spans="1:23">
      <c r="A191" t="s">
        <v>1701</v>
      </c>
      <c r="B191" s="37">
        <v>12</v>
      </c>
      <c r="C191" s="37">
        <v>12</v>
      </c>
      <c r="D191" s="8"/>
      <c r="E191" s="27"/>
      <c r="F191" s="27"/>
      <c r="G191" s="126"/>
      <c r="H191" s="27"/>
      <c r="I191" s="27"/>
      <c r="J191" s="34"/>
      <c r="K191" s="34"/>
      <c r="S191" s="44"/>
    </row>
    <row r="192" spans="1:23">
      <c r="A192" t="s">
        <v>510</v>
      </c>
      <c r="B192"/>
      <c r="C192"/>
      <c r="D192" s="81"/>
      <c r="E192" s="75" t="s">
        <v>734</v>
      </c>
      <c r="F192" s="49">
        <v>54</v>
      </c>
      <c r="G192" s="26">
        <v>54</v>
      </c>
      <c r="H192" s="49">
        <v>54</v>
      </c>
      <c r="I192" s="27"/>
      <c r="J192" s="34"/>
      <c r="K192" s="34"/>
      <c r="S192" s="44"/>
    </row>
    <row r="193" spans="1:19">
      <c r="A193" t="s">
        <v>1707</v>
      </c>
      <c r="B193"/>
      <c r="C193" s="44">
        <v>18</v>
      </c>
      <c r="D193" s="81"/>
      <c r="E193" s="75"/>
      <c r="F193" s="49"/>
      <c r="G193" s="26"/>
      <c r="H193" s="49"/>
      <c r="I193" s="27"/>
      <c r="J193" s="34"/>
      <c r="K193" s="34"/>
      <c r="S193" s="44"/>
    </row>
    <row r="194" spans="1:19">
      <c r="A194" t="s">
        <v>409</v>
      </c>
      <c r="B194"/>
      <c r="C194"/>
      <c r="D194" s="79"/>
      <c r="E194" s="27"/>
      <c r="F194" s="27"/>
      <c r="G194" s="27"/>
      <c r="H194" s="27"/>
      <c r="I194" s="27"/>
      <c r="J194" s="34"/>
      <c r="K194" s="34"/>
      <c r="S194" s="44"/>
    </row>
    <row r="195" spans="1:19">
      <c r="A195" s="79" t="s">
        <v>1430</v>
      </c>
      <c r="B195" s="79"/>
      <c r="C195" s="79"/>
      <c r="D195" s="49"/>
      <c r="E195" s="27"/>
      <c r="F195" s="27"/>
      <c r="G195" s="27"/>
      <c r="H195" s="27"/>
      <c r="I195" s="27"/>
      <c r="J195" s="34"/>
      <c r="K195" s="34"/>
      <c r="S195" s="44"/>
    </row>
    <row r="196" spans="1:19">
      <c r="A196" t="s">
        <v>1419</v>
      </c>
      <c r="B196" s="49">
        <v>72</v>
      </c>
      <c r="C196"/>
      <c r="D196" s="49">
        <v>36</v>
      </c>
      <c r="E196" s="27"/>
      <c r="F196" s="49">
        <v>36</v>
      </c>
      <c r="G196" s="27"/>
      <c r="H196" s="27"/>
      <c r="I196" s="34">
        <v>200</v>
      </c>
      <c r="J196" s="34"/>
      <c r="K196" s="34"/>
      <c r="S196" s="44"/>
    </row>
    <row r="197" spans="1:19">
      <c r="A197" t="s">
        <v>1685</v>
      </c>
      <c r="B197"/>
      <c r="C197"/>
      <c r="D197" s="44">
        <v>10</v>
      </c>
      <c r="E197" s="27"/>
      <c r="F197" s="27"/>
      <c r="G197" s="27"/>
      <c r="H197" s="27"/>
      <c r="I197" s="34"/>
      <c r="J197" s="34"/>
      <c r="K197" s="34"/>
      <c r="S197" s="44"/>
    </row>
    <row r="198" spans="1:19">
      <c r="A198" t="s">
        <v>1703</v>
      </c>
      <c r="B198"/>
      <c r="C198" s="44">
        <v>18</v>
      </c>
      <c r="D198" s="44"/>
      <c r="E198" s="27"/>
      <c r="F198" s="27"/>
      <c r="G198" s="27"/>
      <c r="H198" s="27"/>
      <c r="I198" s="34"/>
      <c r="J198" s="34"/>
      <c r="K198" s="34"/>
      <c r="S198" s="44"/>
    </row>
    <row r="199" spans="1:19">
      <c r="A199" t="s">
        <v>410</v>
      </c>
      <c r="B199"/>
      <c r="C199" s="44">
        <v>396</v>
      </c>
      <c r="D199" s="79"/>
      <c r="E199" s="27"/>
      <c r="F199" s="27"/>
      <c r="G199" s="27"/>
      <c r="H199" s="27"/>
      <c r="I199" s="34">
        <v>100</v>
      </c>
      <c r="J199" s="34"/>
      <c r="K199" s="34"/>
      <c r="S199" s="44"/>
    </row>
    <row r="200" spans="1:19" ht="15.5">
      <c r="A200" t="s">
        <v>405</v>
      </c>
      <c r="B200"/>
      <c r="C200"/>
      <c r="D200" s="144"/>
      <c r="E200" s="27"/>
      <c r="F200" s="27"/>
      <c r="G200" s="27"/>
      <c r="H200" s="27"/>
      <c r="I200" s="34">
        <v>100</v>
      </c>
      <c r="J200" s="34"/>
      <c r="K200" s="34"/>
      <c r="S200" s="44"/>
    </row>
    <row r="201" spans="1:19">
      <c r="A201" s="24" t="s">
        <v>109</v>
      </c>
      <c r="D201"/>
      <c r="E201" s="27" t="s">
        <v>111</v>
      </c>
      <c r="F201" s="27"/>
      <c r="G201" s="27"/>
      <c r="H201" s="37">
        <v>15</v>
      </c>
      <c r="I201" s="27"/>
      <c r="J201" s="37">
        <v>15</v>
      </c>
      <c r="K201" s="34"/>
      <c r="L201" s="29" t="s">
        <v>110</v>
      </c>
      <c r="R201" s="24" t="s">
        <v>90</v>
      </c>
      <c r="S201" s="51">
        <f>SUM(S171:S186)</f>
        <v>4500</v>
      </c>
    </row>
    <row r="202" spans="1:19">
      <c r="A202" t="s">
        <v>602</v>
      </c>
      <c r="B202"/>
      <c r="C202"/>
      <c r="D202" s="7"/>
      <c r="E202" s="26">
        <v>200</v>
      </c>
      <c r="F202" s="26"/>
      <c r="G202" s="26"/>
      <c r="H202" s="37"/>
      <c r="I202" s="11" t="s">
        <v>412</v>
      </c>
      <c r="J202" s="37">
        <v>10</v>
      </c>
      <c r="K202" s="34"/>
    </row>
    <row r="203" spans="1:19">
      <c r="A203" s="113" t="s">
        <v>963</v>
      </c>
      <c r="B203" s="113"/>
      <c r="C203" s="113"/>
      <c r="D203" s="113"/>
      <c r="E203" s="27"/>
      <c r="F203" s="44">
        <v>1000</v>
      </c>
      <c r="G203" s="27"/>
      <c r="I203" s="27"/>
      <c r="J203" s="27"/>
      <c r="K203" s="34"/>
    </row>
    <row r="204" spans="1:19">
      <c r="A204" s="24" t="s">
        <v>139</v>
      </c>
      <c r="E204" s="27"/>
      <c r="F204" s="27"/>
      <c r="G204" s="27"/>
      <c r="H204" s="27"/>
      <c r="I204" s="27"/>
      <c r="J204" s="44">
        <v>25</v>
      </c>
      <c r="K204" s="34"/>
    </row>
    <row r="205" spans="1:19">
      <c r="A205" s="24" t="s">
        <v>66</v>
      </c>
      <c r="C205" s="26">
        <f>836+450+18</f>
        <v>1304</v>
      </c>
      <c r="E205" s="27"/>
      <c r="F205" s="27"/>
      <c r="G205" s="27"/>
      <c r="H205" s="27"/>
      <c r="I205" s="34">
        <v>200</v>
      </c>
      <c r="J205" s="44">
        <f>200+100</f>
        <v>300</v>
      </c>
      <c r="K205" s="34"/>
    </row>
    <row r="206" spans="1:19">
      <c r="A206" s="24" t="s">
        <v>1848</v>
      </c>
      <c r="C206" s="26">
        <f>100+102+100+100+180+200+25+180+40-51-100</f>
        <v>876</v>
      </c>
      <c r="E206" s="27"/>
      <c r="F206" s="27"/>
      <c r="G206" s="27"/>
      <c r="H206" s="27"/>
      <c r="I206" s="34">
        <v>100</v>
      </c>
      <c r="J206" s="44"/>
      <c r="K206" s="34"/>
    </row>
    <row r="207" spans="1:19" s="45" customFormat="1">
      <c r="A207" s="45" t="s">
        <v>90</v>
      </c>
      <c r="F207" s="52">
        <f>SUM(F8:F206)-(F202+F186+F181+F177+F173+F121+F90+F47+F37+F165+F149+F201+F140+F170+F132+F65)</f>
        <v>56057.7</v>
      </c>
      <c r="G207" s="53">
        <f>SUM(G22:G206)-G182-G180-G26-G133+G133*13</f>
        <v>8655</v>
      </c>
      <c r="H207" s="52">
        <f>SUM(H8:H206)-(H202+H186+H181+H177+H173+H121+H90+H47+H37+H165+H149+H201+H140+H170+H132+H65)</f>
        <v>63653.651428571429</v>
      </c>
      <c r="I207" s="53">
        <f>SUM(I21:I206)-I182-I180-I133-I26</f>
        <v>11816</v>
      </c>
      <c r="J207" s="52">
        <f>SUM(J7:J205)-J201-J186-J181-J165-J149-J140-J202-J132-J65+K65</f>
        <v>35529</v>
      </c>
      <c r="K207" s="53">
        <f>SUM(K21:K206)-K182-K180-K133-K65</f>
        <v>7975</v>
      </c>
      <c r="L207" s="54"/>
    </row>
    <row r="208" spans="1:19" s="29" customFormat="1">
      <c r="A208" s="29" t="s">
        <v>64</v>
      </c>
      <c r="F208" s="37">
        <f>F202+F186+F181+F177+F173+F121+F90+F47+F37+F165+F149+F201+F140+F170+F132+F65</f>
        <v>6235</v>
      </c>
      <c r="G208" s="41">
        <f>G26+G182+G180</f>
        <v>0</v>
      </c>
      <c r="H208" s="37">
        <f>H202+H186+H181+H177+H173+H121+H90+H47+H37+H165+H149+H201+H140+H170+H132+H65</f>
        <v>1120</v>
      </c>
      <c r="I208" s="41">
        <f>I26+I182+I180+I133</f>
        <v>504</v>
      </c>
      <c r="J208" s="37">
        <f>J202+J186+J181+J165+J149+J201+J140+J132+J65</f>
        <v>855</v>
      </c>
      <c r="K208" s="41">
        <f>K182+K180+K133</f>
        <v>304</v>
      </c>
    </row>
    <row r="209" spans="1:38">
      <c r="J209" s="44"/>
    </row>
    <row r="210" spans="1:38" ht="15.5">
      <c r="A210" s="250" t="s">
        <v>132</v>
      </c>
      <c r="B210" s="250"/>
      <c r="C210" s="250"/>
      <c r="D210" s="250"/>
      <c r="E210" s="250"/>
      <c r="F210" s="250"/>
      <c r="G210" s="250"/>
      <c r="H210" s="250"/>
      <c r="I210" s="250"/>
      <c r="J210" s="250"/>
      <c r="K210" s="55"/>
    </row>
    <row r="211" spans="1:38" ht="15.5">
      <c r="A211" s="250" t="s">
        <v>131</v>
      </c>
      <c r="B211" s="250"/>
      <c r="C211" s="250"/>
      <c r="D211" s="250"/>
      <c r="E211" s="250"/>
      <c r="F211" s="57"/>
      <c r="G211" s="57"/>
      <c r="I211" s="55"/>
      <c r="K211" s="76" t="s">
        <v>420</v>
      </c>
      <c r="T211" s="56" t="s">
        <v>208</v>
      </c>
    </row>
    <row r="212" spans="1:38" ht="15.5">
      <c r="A212" s="57"/>
      <c r="B212" s="57"/>
      <c r="C212" s="57"/>
      <c r="D212" s="57"/>
      <c r="E212" s="57"/>
      <c r="F212" s="57"/>
      <c r="G212" s="57"/>
      <c r="I212" s="55"/>
    </row>
    <row r="213" spans="1:38" ht="15.5">
      <c r="A213" s="58" t="s">
        <v>146</v>
      </c>
      <c r="B213" s="58"/>
      <c r="C213" s="117"/>
      <c r="D213" s="57"/>
      <c r="G213" s="24">
        <v>2021</v>
      </c>
      <c r="H213" s="24">
        <v>2020</v>
      </c>
      <c r="I213" s="7">
        <v>2019</v>
      </c>
      <c r="J213" s="7" t="s">
        <v>90</v>
      </c>
      <c r="K213" s="7">
        <v>2018</v>
      </c>
      <c r="L213" s="7" t="s">
        <v>90</v>
      </c>
      <c r="M213" s="7">
        <v>2017</v>
      </c>
      <c r="N213" s="7" t="s">
        <v>90</v>
      </c>
      <c r="P213" s="24">
        <v>2021</v>
      </c>
      <c r="Q213" s="24">
        <v>2020</v>
      </c>
      <c r="R213" s="7">
        <v>2019</v>
      </c>
      <c r="S213" s="7" t="s">
        <v>90</v>
      </c>
      <c r="T213" s="7">
        <v>2018</v>
      </c>
      <c r="U213" s="7" t="s">
        <v>90</v>
      </c>
      <c r="V213" s="7">
        <v>2017</v>
      </c>
      <c r="W213" s="7" t="s">
        <v>90</v>
      </c>
    </row>
    <row r="214" spans="1:38" ht="14.25" customHeight="1">
      <c r="A214" s="25"/>
      <c r="B214" s="25"/>
      <c r="C214" s="117"/>
      <c r="D214" s="25"/>
      <c r="G214" s="87">
        <f>C176+C177*12+C181*7+C182*4+C183+C184*12+C187+C188+C190+C191*12+C193+C198+C205+D263*12+C206+C199+C179</f>
        <v>4760</v>
      </c>
      <c r="H214" s="131">
        <f>D182*12+D195*12+D196*12+D197</f>
        <v>658</v>
      </c>
      <c r="I214" s="59">
        <f>F181*7+F182*12+F192*8+F196*12+F203</f>
        <v>2150</v>
      </c>
      <c r="J214" s="131">
        <f>I214+I215/3.75</f>
        <v>2176.6666666666665</v>
      </c>
      <c r="K214" s="59">
        <f>H202*12+H201*12+H192*12+H181*5+H177*12</f>
        <v>1094</v>
      </c>
      <c r="L214" s="60">
        <f>K214+K215/3.75</f>
        <v>1588.1333333333332</v>
      </c>
      <c r="M214" s="59">
        <f>J205+J204+J202*12+J201*12+J186*12+J181*12+J177</f>
        <v>1245</v>
      </c>
      <c r="N214" s="60">
        <f>M214+M215/3.75</f>
        <v>1697.8</v>
      </c>
      <c r="P214" s="119">
        <f>C22+C24*12+C25+C28+C29*12+C30+C40*12+C41+C46+C47*12+C49*12+C51+C52*12+C65*12+C67+C82+C90+C100+C110+C111*12+C132*12+C135*12+C138*12+C139+C140*12+C141+C143+C144*12+C149*12+C156+C158+C164*12+C165*12+C167+C170+C171+C174*12</f>
        <v>25098.46</v>
      </c>
      <c r="Q214" s="130">
        <f>D6+D8+D12+D24*12+D17+D22+D29*12+D37*5+D41+D43+D47*12+D48+D50*12+D52+D54+D56+D63+D64+D65*12+D66+D90+D111*12+D112+D131+D132*6+D135+D137+D140*9+D144*12+D148+D149*7+D152+D153+D160+D165+D173+Q215/3.4</f>
        <v>36772.882352941175</v>
      </c>
      <c r="R214" s="121">
        <f>F3+F5+F6+F8+F9+F11+F16+F18+F21*13+G21+F22+F26+F32+F33*8+G33+F34+F35+F37*12+F38+F40*12+F43+F45+F47+F50+F51+F52+F53+F54+F60+F62+F63+F65*13+F66+F67+F69+F70+F71+F74+F78+F83+F85+F87+F88+F89+F90+F91+F93+F94+F95+F97+F101+F103+F106+F108+F109+F110+F113+F114+F115+F117+F118+F120+F122+F123+F124+F126+F127+F129*11+F132+F135+F137+F134*13+F140*7+G140*3+E131*6+G132*12+F141+F144+F148*13+F149*12+G149+F150+F151+F153+F152+F154+F155*13+F159+F160+F161+F166+F169+F172</f>
        <v>93508.7</v>
      </c>
      <c r="S214" s="130">
        <f>R214+R215/3.75</f>
        <v>94951.633333333331</v>
      </c>
      <c r="T214" s="26">
        <f>E202+H185+H173*12+E173*8+H172+H171+H170+H169+H168+H165+H164+H163+H162+H157+H154+H152+H153+H151+H149*12+H148+I148*11+I147*5+H147+H144*12+H142+H140*12+H137+H134*12+E131*12+E132*5+H132*12+H131+I132*4+H119+H130+H129+H128+H125+H121+H116+H112+H110+H107+H105+H104+H99+H98+H96+H93+H92+H91+H90*9+I91*3+I90+H84+H80+H79+H76+H72+H71+H69+H66+H65*12+I65+H64+H61+H59+H58+H57+H56*12+I56+H55+H50+H48+H47*12+H38+H43+H36+H37*12+I37+H44+H39+H42+H34+H33+H31+H28+H27+H26*7+I27+H23+H22+H21+H52+H20+H19+H14+H13+H10+H9+H8+H7+H6+H4+H2</f>
        <v>114263.15142857142</v>
      </c>
      <c r="U214" s="61">
        <f>T214+T215/3.5</f>
        <v>115860.29428571428</v>
      </c>
      <c r="V214" s="26">
        <f>J170+J165+J164+J157+J152+J153+J149*12+J148+J142+J140*12+J132*6+E132*6+J130+J129+J121+J105+J98+J91+J90+J80+J72+J65*12+K65+J58+J57+J56+J55+J48+J47+J38+J36+J37+J44+J39+J28+J21+J8+J7</f>
        <v>43254</v>
      </c>
      <c r="W214" s="61">
        <f>V214+V215/3.75</f>
        <v>45847.333333333336</v>
      </c>
    </row>
    <row r="215" spans="1:38">
      <c r="A215" s="25"/>
      <c r="B215" s="25"/>
      <c r="C215" s="7"/>
      <c r="D215" s="25"/>
      <c r="I215" s="34">
        <f>G189</f>
        <v>100</v>
      </c>
      <c r="J215" s="62"/>
      <c r="K215" s="62">
        <f>I177+I182*12+I180*8+I200+I199+I206+I196+I205</f>
        <v>1853</v>
      </c>
      <c r="M215" s="62">
        <f>K182*12+K180*8+K175</f>
        <v>1698</v>
      </c>
      <c r="Q215" s="34">
        <f>D133*12</f>
        <v>2400</v>
      </c>
      <c r="R215" s="34">
        <f>G155+G145+G133*13+G131+G121+G98+G82+G83+G77+G40+G171+G26</f>
        <v>5411</v>
      </c>
      <c r="T215" s="34">
        <f>I155+I149+I145+I133*12+I131+I121+I98+I75+I48+I170+I26</f>
        <v>5590</v>
      </c>
      <c r="V215" s="34">
        <f>K173+K171+K155+K149+K146+K133*12+K131+K121+K98+K75+K86+K46+K170</f>
        <v>9725</v>
      </c>
    </row>
    <row r="216" spans="1:38">
      <c r="C216" s="7"/>
      <c r="F216" s="24" t="s">
        <v>127</v>
      </c>
      <c r="G216" s="24" t="s">
        <v>207</v>
      </c>
      <c r="H216" t="s">
        <v>301</v>
      </c>
      <c r="I216" s="24" t="s">
        <v>127</v>
      </c>
      <c r="J216" s="24" t="s">
        <v>120</v>
      </c>
      <c r="K216" s="24" t="s">
        <v>125</v>
      </c>
      <c r="L216" s="24" t="s">
        <v>207</v>
      </c>
      <c r="M216" t="s">
        <v>301</v>
      </c>
      <c r="Q216" s="24" t="s">
        <v>127</v>
      </c>
      <c r="R216" s="24" t="s">
        <v>206</v>
      </c>
      <c r="S216" s="24" t="s">
        <v>120</v>
      </c>
      <c r="T216" s="24" t="s">
        <v>125</v>
      </c>
      <c r="U216" s="24" t="s">
        <v>207</v>
      </c>
      <c r="V216" s="24" t="s">
        <v>126</v>
      </c>
      <c r="W216" s="24" t="s">
        <v>170</v>
      </c>
      <c r="X216" s="24" t="s">
        <v>239</v>
      </c>
      <c r="AA216" s="44"/>
      <c r="AB216" s="24" t="s">
        <v>127</v>
      </c>
      <c r="AC216" s="24" t="s">
        <v>206</v>
      </c>
      <c r="AD216" s="24" t="s">
        <v>120</v>
      </c>
      <c r="AE216" s="24" t="s">
        <v>125</v>
      </c>
      <c r="AF216" s="24" t="s">
        <v>207</v>
      </c>
      <c r="AG216" s="24" t="s">
        <v>126</v>
      </c>
      <c r="AH216" s="24" t="s">
        <v>170</v>
      </c>
      <c r="AI216" s="24" t="s">
        <v>239</v>
      </c>
    </row>
    <row r="217" spans="1:38">
      <c r="A217" t="s">
        <v>397</v>
      </c>
      <c r="B217"/>
      <c r="C217" s="79"/>
      <c r="D217" s="44">
        <v>300</v>
      </c>
      <c r="F217" s="44">
        <v>100</v>
      </c>
      <c r="G217" s="44">
        <v>3600</v>
      </c>
      <c r="H217" s="44">
        <f>G217-F217*12-(200/3.5)*12-300</f>
        <v>1414.2857142857142</v>
      </c>
      <c r="I217" s="44">
        <v>100</v>
      </c>
      <c r="J217" s="44">
        <f>1000+I217*13+(G133/3.73)*13</f>
        <v>2997.0509383378017</v>
      </c>
      <c r="K217" s="44">
        <v>300</v>
      </c>
      <c r="L217" s="44">
        <v>3900</v>
      </c>
      <c r="M217" s="44">
        <f>L217-J217</f>
        <v>902.94906166219835</v>
      </c>
      <c r="Q217" s="44">
        <v>100</v>
      </c>
      <c r="R217" s="44">
        <v>300</v>
      </c>
      <c r="S217" s="24">
        <f>Q217+200/3.5</f>
        <v>157.14285714285714</v>
      </c>
      <c r="T217" t="s">
        <v>66</v>
      </c>
      <c r="U217" s="44">
        <v>3600</v>
      </c>
      <c r="V217" s="24">
        <f>U217-(90*12+Q217*12+284+88+286+2650+2016)</f>
        <v>-4004</v>
      </c>
      <c r="AA217" s="44">
        <v>150</v>
      </c>
      <c r="AB217" s="44">
        <v>150</v>
      </c>
      <c r="AC217" s="44">
        <v>300</v>
      </c>
      <c r="AD217" s="24" t="s">
        <v>117</v>
      </c>
      <c r="AE217" s="24">
        <f>1800+790+630</f>
        <v>3220</v>
      </c>
      <c r="AF217" s="29">
        <v>3600</v>
      </c>
      <c r="AG217" s="26">
        <f>AF217-AE217</f>
        <v>380</v>
      </c>
      <c r="AH217" s="24" t="s">
        <v>188</v>
      </c>
    </row>
    <row r="218" spans="1:38">
      <c r="A218" t="s">
        <v>398</v>
      </c>
      <c r="B218"/>
      <c r="C218" s="79"/>
      <c r="D218" s="44">
        <v>300</v>
      </c>
      <c r="F218" s="44">
        <v>0</v>
      </c>
      <c r="G218" s="44">
        <v>3000</v>
      </c>
      <c r="H218" s="44">
        <f>G218-F218*12-1500</f>
        <v>1500</v>
      </c>
      <c r="I218" s="44"/>
      <c r="J218" s="44"/>
      <c r="K218" s="44">
        <v>250</v>
      </c>
      <c r="L218" s="44">
        <v>3250</v>
      </c>
      <c r="M218" t="s">
        <v>105</v>
      </c>
      <c r="R218" s="44">
        <v>250</v>
      </c>
      <c r="S218" s="73">
        <f>1000+1000+1000</f>
        <v>3000</v>
      </c>
      <c r="U218" s="44">
        <v>3000</v>
      </c>
      <c r="V218" s="26"/>
      <c r="W218" s="44">
        <v>9500</v>
      </c>
      <c r="X218" s="11" t="s">
        <v>473</v>
      </c>
      <c r="Z218" s="73">
        <f>240+350</f>
        <v>590</v>
      </c>
      <c r="AA218" s="44">
        <v>250</v>
      </c>
      <c r="AC218" s="44">
        <v>250</v>
      </c>
      <c r="AD218" s="24" t="s">
        <v>152</v>
      </c>
      <c r="AE218" s="26">
        <f>500+600+100</f>
        <v>1200</v>
      </c>
      <c r="AF218" s="29">
        <v>3000</v>
      </c>
      <c r="AG218" s="26">
        <f>AF218-AE218</f>
        <v>1800</v>
      </c>
      <c r="AH218" s="44" t="s">
        <v>186</v>
      </c>
    </row>
    <row r="219" spans="1:38">
      <c r="A219" t="s">
        <v>399</v>
      </c>
      <c r="B219"/>
      <c r="C219" s="204">
        <f>D217+D218+D219+D222+D226+D228+D231+D233+D232+D235+D239+D240</f>
        <v>3300</v>
      </c>
      <c r="D219" s="44">
        <v>250</v>
      </c>
      <c r="F219" s="44">
        <v>200</v>
      </c>
      <c r="G219" s="44">
        <v>3000</v>
      </c>
      <c r="H219" s="44">
        <f>G219-F219*12</f>
        <v>600</v>
      </c>
      <c r="I219" s="44">
        <f>100+100</f>
        <v>200</v>
      </c>
      <c r="J219" s="73">
        <f>I219*13</f>
        <v>2600</v>
      </c>
      <c r="K219" s="49">
        <v>250</v>
      </c>
      <c r="L219" s="44">
        <v>3250</v>
      </c>
      <c r="M219" s="44">
        <f>L219-J219</f>
        <v>650</v>
      </c>
      <c r="N219" s="73" t="s">
        <v>415</v>
      </c>
      <c r="Q219" s="44">
        <v>100</v>
      </c>
      <c r="R219" s="44">
        <v>300</v>
      </c>
      <c r="S219" t="s">
        <v>493</v>
      </c>
      <c r="T219" s="74" t="s">
        <v>414</v>
      </c>
      <c r="U219" s="44">
        <v>3600</v>
      </c>
      <c r="V219" s="73">
        <v>0</v>
      </c>
      <c r="W219" s="44">
        <f>3600+250</f>
        <v>3850</v>
      </c>
      <c r="X219" t="s">
        <v>573</v>
      </c>
      <c r="Z219" s="108">
        <v>6000</v>
      </c>
      <c r="AA219" s="44">
        <v>100</v>
      </c>
      <c r="AB219" s="44">
        <v>150</v>
      </c>
      <c r="AC219" s="44">
        <v>250</v>
      </c>
      <c r="AD219" s="24" t="s">
        <v>145</v>
      </c>
      <c r="AE219">
        <f>1800-250</f>
        <v>1550</v>
      </c>
      <c r="AF219" s="24">
        <v>2750</v>
      </c>
      <c r="AG219" s="26">
        <f>AF219-AE219</f>
        <v>1200</v>
      </c>
      <c r="AH219" s="24" t="s">
        <v>186</v>
      </c>
    </row>
    <row r="220" spans="1:38">
      <c r="C220"/>
      <c r="D220" t="s">
        <v>400</v>
      </c>
      <c r="F220" s="176" t="s">
        <v>1420</v>
      </c>
      <c r="G220" s="176" t="s">
        <v>1420</v>
      </c>
      <c r="H220" s="176" t="s">
        <v>1420</v>
      </c>
      <c r="I220" s="44">
        <v>100</v>
      </c>
      <c r="J220" s="44">
        <f>I220*7+150*7</f>
        <v>1750</v>
      </c>
      <c r="K220" s="44">
        <v>134.62</v>
      </c>
      <c r="L220" s="44">
        <v>1750</v>
      </c>
      <c r="M220" s="124" t="s">
        <v>727</v>
      </c>
      <c r="Q220" s="44">
        <v>100</v>
      </c>
      <c r="R220" s="44">
        <v>250</v>
      </c>
      <c r="S220" s="73">
        <v>600</v>
      </c>
      <c r="U220" s="44">
        <v>3000</v>
      </c>
      <c r="V220" s="73">
        <v>1200</v>
      </c>
      <c r="AA220" s="44">
        <v>100</v>
      </c>
      <c r="AB220" s="44">
        <v>150</v>
      </c>
      <c r="AC220" s="44">
        <v>250</v>
      </c>
      <c r="AD220" s="24" t="s">
        <v>119</v>
      </c>
      <c r="AE220" s="24">
        <v>3000</v>
      </c>
      <c r="AF220" s="24">
        <v>3000</v>
      </c>
      <c r="AH220" s="24" t="s">
        <v>188</v>
      </c>
      <c r="AJ220" t="s">
        <v>472</v>
      </c>
      <c r="AL220" s="26">
        <v>6000</v>
      </c>
    </row>
    <row r="221" spans="1:38">
      <c r="A221"/>
      <c r="B221"/>
      <c r="C221" s="7"/>
      <c r="D221" t="s">
        <v>401</v>
      </c>
      <c r="F221" s="73">
        <v>0</v>
      </c>
      <c r="G221" s="44">
        <v>3600</v>
      </c>
      <c r="H221" s="44">
        <f>G221-F221*12</f>
        <v>3600</v>
      </c>
      <c r="I221" s="44"/>
      <c r="J221" s="44">
        <f>250+200+40+F53+141+F60</f>
        <v>1731</v>
      </c>
      <c r="K221" s="63">
        <v>300</v>
      </c>
      <c r="L221" s="44">
        <v>3900</v>
      </c>
      <c r="M221" s="44">
        <f>L221-J221</f>
        <v>2169</v>
      </c>
      <c r="N221" s="30" t="s">
        <v>1066</v>
      </c>
      <c r="Q221" s="44">
        <v>250</v>
      </c>
      <c r="R221" s="44">
        <v>300</v>
      </c>
      <c r="S221" s="73" t="s">
        <v>574</v>
      </c>
      <c r="U221" s="44">
        <v>3600</v>
      </c>
      <c r="V221" s="73">
        <v>600</v>
      </c>
      <c r="X221"/>
      <c r="AA221" s="44">
        <v>150</v>
      </c>
      <c r="AB221" s="44">
        <v>150</v>
      </c>
      <c r="AC221" s="44">
        <v>300</v>
      </c>
      <c r="AD221" s="24" t="s">
        <v>157</v>
      </c>
      <c r="AE221" s="24">
        <v>3300</v>
      </c>
      <c r="AF221" s="24">
        <v>3300</v>
      </c>
      <c r="AH221" s="44">
        <v>300</v>
      </c>
    </row>
    <row r="222" spans="1:38">
      <c r="A222" s="6" t="s">
        <v>402</v>
      </c>
      <c r="B222" s="6"/>
      <c r="C222" s="7"/>
      <c r="D222" s="44">
        <v>300</v>
      </c>
      <c r="F222" s="44">
        <v>100</v>
      </c>
      <c r="G222" s="44">
        <v>3600</v>
      </c>
      <c r="H222" s="44">
        <f>G222-F222*12-200*12</f>
        <v>0</v>
      </c>
      <c r="I222" s="44">
        <v>100</v>
      </c>
      <c r="J222" s="73">
        <f>I222*13+G132*12</f>
        <v>3700</v>
      </c>
      <c r="K222" s="44">
        <v>300</v>
      </c>
      <c r="L222" s="44">
        <v>3900</v>
      </c>
      <c r="M222" s="44">
        <f>L222-J222</f>
        <v>200</v>
      </c>
      <c r="N222" s="73">
        <f>12000-4000-1858-3600-2500-42</f>
        <v>0</v>
      </c>
      <c r="Q222" s="44">
        <v>100</v>
      </c>
      <c r="R222" s="73">
        <v>300</v>
      </c>
      <c r="S222" s="73" t="s">
        <v>413</v>
      </c>
      <c r="T222" s="24">
        <f>I222+Q222*12</f>
        <v>1300</v>
      </c>
      <c r="U222" s="44">
        <f>R222*12</f>
        <v>3600</v>
      </c>
      <c r="V222" s="73">
        <v>0</v>
      </c>
      <c r="W222" s="24">
        <v>1000</v>
      </c>
      <c r="Z222" s="24">
        <v>6000</v>
      </c>
      <c r="AA222" s="44">
        <f>E132*6+J132*5</f>
        <v>3660</v>
      </c>
      <c r="AB222" s="44">
        <v>150</v>
      </c>
      <c r="AC222" s="44">
        <v>300</v>
      </c>
      <c r="AD222" s="24" t="s">
        <v>129</v>
      </c>
      <c r="AE222" s="44">
        <f>E132*6+J132*6+AB222*12-300</f>
        <v>5460</v>
      </c>
      <c r="AF222" s="44">
        <f>AC222*12-300</f>
        <v>3300</v>
      </c>
      <c r="AG222" s="26">
        <f>AF222-AE222+AI222+0</f>
        <v>-161</v>
      </c>
      <c r="AH222" s="24" t="s">
        <v>188</v>
      </c>
      <c r="AI222" s="44">
        <f>900+99+1000</f>
        <v>1999</v>
      </c>
      <c r="AJ222" s="63" t="s">
        <v>353</v>
      </c>
      <c r="AK222" s="45"/>
      <c r="AL222" s="30"/>
    </row>
    <row r="223" spans="1:38">
      <c r="C223" s="7"/>
      <c r="D223" t="s">
        <v>403</v>
      </c>
      <c r="F223" s="176" t="s">
        <v>1420</v>
      </c>
      <c r="G223" s="176" t="s">
        <v>1420</v>
      </c>
      <c r="H223" s="176" t="s">
        <v>1420</v>
      </c>
      <c r="I223" s="44">
        <v>100</v>
      </c>
      <c r="J223" s="44">
        <f>I223*8+150*7</f>
        <v>1850</v>
      </c>
      <c r="K223" s="44">
        <v>200</v>
      </c>
      <c r="L223" s="44">
        <v>2400</v>
      </c>
      <c r="M223" s="44">
        <f>L223-J223</f>
        <v>550</v>
      </c>
      <c r="N223" s="44">
        <v>200</v>
      </c>
      <c r="Q223" s="44">
        <v>100</v>
      </c>
      <c r="R223" s="73">
        <v>300</v>
      </c>
      <c r="S223" s="73">
        <f>150*12</f>
        <v>1800</v>
      </c>
      <c r="U223" s="44">
        <v>3600</v>
      </c>
      <c r="V223" s="73">
        <v>600</v>
      </c>
      <c r="AA223" s="44">
        <v>150</v>
      </c>
      <c r="AB223" s="44">
        <v>150</v>
      </c>
      <c r="AC223" s="44">
        <v>300</v>
      </c>
      <c r="AD223" s="24" t="s">
        <v>148</v>
      </c>
      <c r="AE223" s="24">
        <v>3300</v>
      </c>
      <c r="AF223" s="24">
        <v>3300</v>
      </c>
      <c r="AH223" s="24" t="s">
        <v>188</v>
      </c>
    </row>
    <row r="224" spans="1:38">
      <c r="C224" s="79"/>
      <c r="D224" s="24" t="s">
        <v>389</v>
      </c>
      <c r="F224" s="176" t="s">
        <v>1420</v>
      </c>
      <c r="G224" s="176" t="s">
        <v>1420</v>
      </c>
      <c r="H224" s="176" t="s">
        <v>1420</v>
      </c>
      <c r="I224" s="44"/>
      <c r="J224" s="44"/>
      <c r="K224" s="73">
        <v>0</v>
      </c>
      <c r="L224" s="44">
        <v>0</v>
      </c>
      <c r="N224" s="11" t="s">
        <v>886</v>
      </c>
      <c r="Q224" s="44">
        <v>100</v>
      </c>
      <c r="R224" s="49">
        <v>0</v>
      </c>
      <c r="S224" t="s">
        <v>66</v>
      </c>
      <c r="U224" s="44">
        <v>300</v>
      </c>
      <c r="V224" s="73"/>
      <c r="W224" s="44">
        <v>600</v>
      </c>
      <c r="X224" s="74" t="s">
        <v>419</v>
      </c>
      <c r="AA224" s="44">
        <v>150</v>
      </c>
      <c r="AB224" s="44">
        <v>150</v>
      </c>
      <c r="AC224" s="44">
        <v>300</v>
      </c>
      <c r="AD224" s="24" t="s">
        <v>147</v>
      </c>
      <c r="AE224" s="26">
        <f>1800+J37+J38+J36+J44+J39+K171/3.6</f>
        <v>4781.7777777777774</v>
      </c>
      <c r="AF224" s="24">
        <v>3600</v>
      </c>
      <c r="AG224" s="26">
        <f>AF224-AE224+AH224+AI224</f>
        <v>18.222222222222626</v>
      </c>
      <c r="AH224" s="44">
        <v>800</v>
      </c>
      <c r="AI224" s="44">
        <v>400</v>
      </c>
    </row>
    <row r="225" spans="1:35">
      <c r="C225" s="125"/>
      <c r="D225" s="24" t="s">
        <v>388</v>
      </c>
      <c r="F225" s="176" t="s">
        <v>1420</v>
      </c>
      <c r="G225" s="176" t="s">
        <v>1420</v>
      </c>
      <c r="H225" s="176" t="s">
        <v>1420</v>
      </c>
      <c r="I225" s="44">
        <v>100</v>
      </c>
      <c r="J225" s="44">
        <f>I225*13</f>
        <v>1300</v>
      </c>
      <c r="K225" s="44"/>
      <c r="L225" s="44">
        <v>3250</v>
      </c>
      <c r="M225" s="124" t="s">
        <v>727</v>
      </c>
      <c r="N225" s="49">
        <v>17129</v>
      </c>
      <c r="Q225" s="44">
        <v>100</v>
      </c>
      <c r="R225" s="44">
        <v>250</v>
      </c>
      <c r="S225" s="73">
        <f>1200+800</f>
        <v>2000</v>
      </c>
      <c r="U225" s="44">
        <v>3000</v>
      </c>
      <c r="V225" s="24">
        <v>1000</v>
      </c>
      <c r="AA225" s="44">
        <v>100</v>
      </c>
      <c r="AB225" s="44">
        <v>150</v>
      </c>
      <c r="AC225" s="44">
        <v>250</v>
      </c>
      <c r="AD225" s="24" t="s">
        <v>118</v>
      </c>
      <c r="AE225" s="24">
        <v>2750</v>
      </c>
      <c r="AF225" s="24">
        <v>2750</v>
      </c>
      <c r="AH225" s="24" t="s">
        <v>186</v>
      </c>
    </row>
    <row r="226" spans="1:35">
      <c r="A226" s="24" t="s">
        <v>303</v>
      </c>
      <c r="D226" s="44">
        <v>300</v>
      </c>
      <c r="F226" s="73">
        <v>0</v>
      </c>
      <c r="G226" s="44">
        <v>3000</v>
      </c>
      <c r="H226" s="44">
        <f>G226-F226*12</f>
        <v>3000</v>
      </c>
      <c r="I226" t="s">
        <v>407</v>
      </c>
      <c r="J226" s="44">
        <f>200*13</f>
        <v>2600</v>
      </c>
      <c r="K226" s="49">
        <v>250</v>
      </c>
      <c r="L226" s="44">
        <v>3250</v>
      </c>
      <c r="M226" s="44">
        <f>L226-J226</f>
        <v>650</v>
      </c>
      <c r="Q226" s="44"/>
      <c r="R226" s="73">
        <v>300</v>
      </c>
      <c r="T226"/>
      <c r="U226" s="44">
        <v>3600</v>
      </c>
      <c r="V226" s="24">
        <v>0</v>
      </c>
      <c r="W226" s="24">
        <v>1000</v>
      </c>
      <c r="X226"/>
      <c r="AA226" s="44"/>
      <c r="AB226" s="44"/>
      <c r="AC226" s="44">
        <v>300</v>
      </c>
      <c r="AE226">
        <v>1200</v>
      </c>
      <c r="AF226">
        <v>1200</v>
      </c>
      <c r="AH226" s="44">
        <v>1000</v>
      </c>
    </row>
    <row r="227" spans="1:35">
      <c r="D227" s="24" t="s">
        <v>190</v>
      </c>
      <c r="F227" s="176" t="s">
        <v>1420</v>
      </c>
      <c r="G227" s="176" t="s">
        <v>1420</v>
      </c>
      <c r="H227" s="176" t="s">
        <v>1420</v>
      </c>
      <c r="J227"/>
      <c r="K227" s="73">
        <v>0</v>
      </c>
      <c r="L227" s="44">
        <v>0</v>
      </c>
      <c r="N227" s="11" t="s">
        <v>1180</v>
      </c>
      <c r="R227" s="67">
        <v>0</v>
      </c>
      <c r="S227" t="s">
        <v>66</v>
      </c>
      <c r="U227" s="44">
        <v>0</v>
      </c>
      <c r="V227" s="30">
        <v>0</v>
      </c>
      <c r="W227" s="44">
        <v>27050</v>
      </c>
      <c r="Z227" t="s">
        <v>479</v>
      </c>
      <c r="AA227" s="44">
        <v>250</v>
      </c>
      <c r="AB227" s="44"/>
      <c r="AC227" s="44">
        <v>250</v>
      </c>
      <c r="AD227" s="24" t="s">
        <v>189</v>
      </c>
      <c r="AE227" s="64">
        <f>T215+AB227*1</f>
        <v>5590</v>
      </c>
      <c r="AF227" s="24">
        <v>2500</v>
      </c>
      <c r="AG227" s="26">
        <f>AF227-AE227</f>
        <v>-3090</v>
      </c>
      <c r="AH227" s="24" t="s">
        <v>186</v>
      </c>
    </row>
    <row r="228" spans="1:35">
      <c r="A228" s="24" t="s">
        <v>165</v>
      </c>
      <c r="C228"/>
      <c r="D228" s="44">
        <v>300</v>
      </c>
      <c r="F228" s="44">
        <v>100</v>
      </c>
      <c r="G228" s="44">
        <v>3600</v>
      </c>
      <c r="H228" s="44">
        <f>G228-E267</f>
        <v>-480</v>
      </c>
      <c r="I228" t="s">
        <v>407</v>
      </c>
      <c r="J228" s="81"/>
      <c r="K228" s="44">
        <v>300</v>
      </c>
      <c r="L228" s="44">
        <v>3900</v>
      </c>
      <c r="N228" s="49">
        <f>34300-17093</f>
        <v>17207</v>
      </c>
      <c r="Q228" s="44">
        <v>100</v>
      </c>
      <c r="R228" s="73">
        <v>300</v>
      </c>
      <c r="S228"/>
      <c r="U228" s="73">
        <v>0</v>
      </c>
      <c r="V228">
        <v>0</v>
      </c>
      <c r="AA228" s="26"/>
      <c r="AB228" s="44"/>
      <c r="AC228" s="44"/>
      <c r="AF228">
        <v>1500</v>
      </c>
      <c r="AI228" s="24">
        <v>0</v>
      </c>
    </row>
    <row r="229" spans="1:35">
      <c r="D229" t="s">
        <v>406</v>
      </c>
      <c r="F229" s="176" t="s">
        <v>1420</v>
      </c>
      <c r="G229" s="176" t="s">
        <v>1420</v>
      </c>
      <c r="H229" s="176" t="s">
        <v>1420</v>
      </c>
      <c r="I229" s="44">
        <v>100</v>
      </c>
      <c r="J229" s="44">
        <f>I229*13+100*12</f>
        <v>2500</v>
      </c>
      <c r="K229" s="44">
        <v>173</v>
      </c>
      <c r="L229" s="44">
        <v>2250</v>
      </c>
      <c r="M229" s="124" t="s">
        <v>727</v>
      </c>
      <c r="Q229" s="44">
        <v>100</v>
      </c>
      <c r="R229" s="44">
        <v>300</v>
      </c>
      <c r="S229" s="87">
        <f>100*12+100*12+50*12</f>
        <v>3000</v>
      </c>
      <c r="U229" s="44">
        <v>3600</v>
      </c>
      <c r="V229" s="73">
        <f>U229-(I229*12)-(Q229*12)</f>
        <v>1200</v>
      </c>
      <c r="AA229" s="26"/>
      <c r="AB229" s="44"/>
      <c r="AC229" s="44"/>
    </row>
    <row r="230" spans="1:35">
      <c r="D230" t="s">
        <v>408</v>
      </c>
      <c r="F230" s="176" t="s">
        <v>1420</v>
      </c>
      <c r="G230" s="176" t="s">
        <v>1420</v>
      </c>
      <c r="H230" s="176" t="s">
        <v>1420</v>
      </c>
      <c r="I230" s="44">
        <v>100</v>
      </c>
      <c r="J230" s="44">
        <f>I230*13</f>
        <v>1300</v>
      </c>
      <c r="K230" s="44"/>
      <c r="L230" s="44">
        <v>3250</v>
      </c>
      <c r="M230" s="124" t="s">
        <v>727</v>
      </c>
      <c r="N230" s="11" t="s">
        <v>1510</v>
      </c>
      <c r="Q230" s="44">
        <v>100</v>
      </c>
      <c r="R230" s="44">
        <v>250</v>
      </c>
      <c r="S230" s="24">
        <f>520+Q230*12+(200/3.5)*12</f>
        <v>2405.7142857142858</v>
      </c>
      <c r="U230" s="73">
        <f>3000+50+50</f>
        <v>3100</v>
      </c>
      <c r="V230" s="73">
        <v>600</v>
      </c>
      <c r="AA230" s="26"/>
      <c r="AB230" s="44"/>
      <c r="AC230" s="44"/>
    </row>
    <row r="231" spans="1:35">
      <c r="A231" t="s">
        <v>531</v>
      </c>
      <c r="B231"/>
      <c r="C231"/>
      <c r="D231" s="44">
        <v>250</v>
      </c>
      <c r="F231" s="44">
        <v>100</v>
      </c>
      <c r="G231" s="44">
        <v>3000</v>
      </c>
      <c r="H231" s="44">
        <f>G231-F231*12-350</f>
        <v>1450</v>
      </c>
      <c r="I231" s="44">
        <v>100</v>
      </c>
      <c r="J231" s="44">
        <f>I231*13</f>
        <v>1300</v>
      </c>
      <c r="K231" s="44">
        <v>250</v>
      </c>
      <c r="L231" s="44">
        <v>3250</v>
      </c>
      <c r="M231" s="44">
        <f>L231-J231</f>
        <v>1950</v>
      </c>
      <c r="N231" s="49">
        <f>5864.84+209+200</f>
        <v>6273.84</v>
      </c>
      <c r="Q231" s="44">
        <v>100</v>
      </c>
      <c r="R231" s="73">
        <v>300</v>
      </c>
      <c r="S231" s="105" t="s">
        <v>559</v>
      </c>
      <c r="U231" s="44">
        <f>R231*8</f>
        <v>2400</v>
      </c>
      <c r="V231" s="24">
        <f>U231-(Q231*12)</f>
        <v>1200</v>
      </c>
      <c r="AA231" s="26"/>
      <c r="AB231" s="44"/>
      <c r="AC231" s="44"/>
    </row>
    <row r="232" spans="1:35">
      <c r="A232" t="s">
        <v>418</v>
      </c>
      <c r="B232"/>
      <c r="C232"/>
      <c r="D232" s="44">
        <v>250</v>
      </c>
      <c r="F232" s="44">
        <v>100</v>
      </c>
      <c r="G232" s="44">
        <v>3000</v>
      </c>
      <c r="H232" s="44">
        <f>G232-F232*12-100*12</f>
        <v>600</v>
      </c>
      <c r="I232" s="44">
        <v>100</v>
      </c>
      <c r="J232" s="44">
        <f>I232*13+100*12</f>
        <v>2500</v>
      </c>
      <c r="K232" s="44">
        <v>250</v>
      </c>
      <c r="L232" s="44">
        <v>3250</v>
      </c>
      <c r="M232" s="44">
        <f>L232-J232</f>
        <v>750</v>
      </c>
      <c r="Q232" s="44">
        <v>100</v>
      </c>
      <c r="R232" s="44">
        <v>250</v>
      </c>
      <c r="S232" s="87">
        <f>100*12+100*12+50*12</f>
        <v>3000</v>
      </c>
      <c r="U232" s="44">
        <v>3600</v>
      </c>
      <c r="V232" s="73">
        <f>U232-(I232*12)-(Q232*12)</f>
        <v>1200</v>
      </c>
      <c r="AA232" s="26"/>
      <c r="AB232" s="44"/>
      <c r="AC232" s="44"/>
    </row>
    <row r="233" spans="1:35">
      <c r="A233" t="s">
        <v>728</v>
      </c>
      <c r="B233"/>
      <c r="C233"/>
      <c r="D233" s="44">
        <v>250</v>
      </c>
      <c r="F233" s="44">
        <v>100</v>
      </c>
      <c r="G233" s="44">
        <v>3000</v>
      </c>
      <c r="H233" s="44">
        <f>G233-F233*12-350</f>
        <v>1450</v>
      </c>
      <c r="I233" s="44"/>
      <c r="J233" s="44"/>
      <c r="K233" s="44">
        <v>250</v>
      </c>
      <c r="L233" s="44"/>
      <c r="M233" s="44"/>
      <c r="Q233" s="44"/>
      <c r="R233" s="44"/>
      <c r="S233" s="87"/>
      <c r="U233" s="44"/>
      <c r="V233" s="73"/>
      <c r="AA233" s="26"/>
      <c r="AB233" s="44"/>
      <c r="AC233" s="44"/>
    </row>
    <row r="234" spans="1:35">
      <c r="D234" s="24" t="s">
        <v>392</v>
      </c>
      <c r="F234" s="176" t="s">
        <v>1420</v>
      </c>
      <c r="G234" s="176" t="s">
        <v>1420</v>
      </c>
      <c r="H234" s="176" t="s">
        <v>1420</v>
      </c>
      <c r="I234" s="44">
        <v>100</v>
      </c>
      <c r="J234" t="s">
        <v>66</v>
      </c>
      <c r="K234" s="73">
        <v>92.31</v>
      </c>
      <c r="L234" s="73">
        <v>1000</v>
      </c>
      <c r="M234" s="124" t="s">
        <v>727</v>
      </c>
      <c r="R234" s="44">
        <v>300</v>
      </c>
      <c r="S234"/>
      <c r="U234" s="44">
        <v>3600</v>
      </c>
      <c r="V234" s="24">
        <f>U234-H90*12</f>
        <v>0</v>
      </c>
      <c r="AA234" s="26"/>
      <c r="AB234" s="44"/>
      <c r="AC234" s="44"/>
    </row>
    <row r="235" spans="1:35">
      <c r="A235" t="s">
        <v>536</v>
      </c>
      <c r="B235"/>
      <c r="C235"/>
      <c r="D235" s="44">
        <v>300</v>
      </c>
      <c r="F235" s="73">
        <v>0</v>
      </c>
      <c r="G235" s="44">
        <v>3600</v>
      </c>
      <c r="H235" s="44">
        <f>G235-F235*12</f>
        <v>3600</v>
      </c>
      <c r="J235" s="73"/>
      <c r="K235" s="44">
        <v>300</v>
      </c>
      <c r="L235" s="44">
        <v>3900</v>
      </c>
      <c r="M235" s="44">
        <f>L235-J235</f>
        <v>3900</v>
      </c>
      <c r="N235" s="73">
        <f>56*8</f>
        <v>448</v>
      </c>
      <c r="R235" s="44">
        <v>300</v>
      </c>
      <c r="S235"/>
      <c r="U235" s="44">
        <f>R235*8</f>
        <v>2400</v>
      </c>
      <c r="AA235" s="26"/>
      <c r="AB235" s="44"/>
      <c r="AC235" s="44"/>
    </row>
    <row r="236" spans="1:35">
      <c r="A236" s="44">
        <v>250</v>
      </c>
      <c r="B236" s="44"/>
      <c r="C236" s="44"/>
      <c r="D236" t="s">
        <v>429</v>
      </c>
      <c r="F236" s="176" t="s">
        <v>1420</v>
      </c>
      <c r="G236" s="176" t="s">
        <v>1420</v>
      </c>
      <c r="H236" s="176" t="s">
        <v>1420</v>
      </c>
      <c r="I236" s="73" t="s">
        <v>433</v>
      </c>
      <c r="J236" s="73">
        <v>300</v>
      </c>
      <c r="K236" s="73">
        <v>92.31</v>
      </c>
      <c r="L236" s="44">
        <v>1200</v>
      </c>
      <c r="M236" s="124" t="s">
        <v>727</v>
      </c>
      <c r="R236" s="67">
        <v>300</v>
      </c>
      <c r="S236" t="s">
        <v>417</v>
      </c>
      <c r="U236" s="44">
        <v>3600</v>
      </c>
      <c r="V236" s="99">
        <f>U236-H66</f>
        <v>1100</v>
      </c>
      <c r="AA236" s="26"/>
      <c r="AB236" s="44"/>
      <c r="AC236" s="44"/>
    </row>
    <row r="237" spans="1:35">
      <c r="A237"/>
      <c r="B237"/>
      <c r="C237"/>
      <c r="D237" t="s">
        <v>430</v>
      </c>
      <c r="F237" s="176" t="s">
        <v>1420</v>
      </c>
      <c r="G237" s="176" t="s">
        <v>1420</v>
      </c>
      <c r="H237" s="176" t="s">
        <v>1420</v>
      </c>
      <c r="I237" s="73" t="s">
        <v>433</v>
      </c>
      <c r="J237" s="73"/>
      <c r="K237" s="44">
        <v>300</v>
      </c>
      <c r="L237" s="44">
        <v>3900</v>
      </c>
      <c r="R237" s="44">
        <v>300</v>
      </c>
      <c r="S237" t="s">
        <v>575</v>
      </c>
      <c r="U237" s="44">
        <v>3300</v>
      </c>
      <c r="V237" s="24">
        <f>U237-R237*11</f>
        <v>0</v>
      </c>
      <c r="AA237" s="26"/>
      <c r="AB237" s="44"/>
      <c r="AC237" s="44"/>
    </row>
    <row r="238" spans="1:35">
      <c r="D238" t="s">
        <v>594</v>
      </c>
      <c r="F238" s="176" t="s">
        <v>1420</v>
      </c>
      <c r="G238" s="176" t="s">
        <v>1420</v>
      </c>
      <c r="H238" s="176" t="s">
        <v>1420</v>
      </c>
      <c r="I238" s="73"/>
      <c r="J238" s="73"/>
      <c r="K238" s="73">
        <v>92.31</v>
      </c>
      <c r="L238" s="44">
        <v>1200</v>
      </c>
      <c r="M238" s="124" t="s">
        <v>727</v>
      </c>
      <c r="R238" s="44">
        <v>300</v>
      </c>
      <c r="S238"/>
      <c r="U238" s="44">
        <f>R238*6</f>
        <v>1800</v>
      </c>
      <c r="AA238" s="26"/>
      <c r="AB238" s="44"/>
      <c r="AC238" s="44"/>
    </row>
    <row r="239" spans="1:35">
      <c r="A239" t="s">
        <v>1680</v>
      </c>
      <c r="B239"/>
      <c r="C239"/>
      <c r="D239" s="44">
        <v>250</v>
      </c>
      <c r="F239" s="44">
        <v>100</v>
      </c>
      <c r="G239" s="44">
        <v>3000</v>
      </c>
      <c r="H239" s="44">
        <f>G239-F239*12+M239-H214</f>
        <v>465.33333333333348</v>
      </c>
      <c r="I239" s="73">
        <v>900</v>
      </c>
      <c r="J239" s="73">
        <f>J214</f>
        <v>2176.6666666666665</v>
      </c>
      <c r="K239" s="44">
        <v>250</v>
      </c>
      <c r="L239" s="44">
        <v>3000</v>
      </c>
      <c r="M239" s="44">
        <f>L239-I239-J239-600</f>
        <v>-676.66666666666652</v>
      </c>
      <c r="R239" s="44"/>
      <c r="S239"/>
      <c r="U239" s="44"/>
      <c r="AA239" s="26"/>
      <c r="AB239" s="44"/>
      <c r="AC239" s="44"/>
    </row>
    <row r="240" spans="1:35">
      <c r="A240" t="s">
        <v>1160</v>
      </c>
      <c r="B240"/>
      <c r="C240"/>
      <c r="D240" s="44">
        <v>250</v>
      </c>
      <c r="F240" s="44"/>
      <c r="G240" s="44"/>
      <c r="H240" s="44"/>
      <c r="I240" s="73"/>
      <c r="J240" s="73"/>
      <c r="K240" s="44"/>
      <c r="L240" s="44"/>
      <c r="M240" s="44"/>
      <c r="R240" s="44"/>
      <c r="S240"/>
      <c r="U240" s="44"/>
      <c r="AA240" s="26"/>
      <c r="AB240" s="44"/>
      <c r="AC240" s="44"/>
    </row>
    <row r="241" spans="1:38">
      <c r="A241" s="24" t="s">
        <v>128</v>
      </c>
      <c r="D241" s="26">
        <f>SUM(D217:D240)</f>
        <v>3300</v>
      </c>
      <c r="F241" s="26">
        <f>SUM(F217:F239)</f>
        <v>900</v>
      </c>
      <c r="G241" s="26">
        <f>SUM(G217:G239)</f>
        <v>39000</v>
      </c>
      <c r="H241" s="26">
        <f>SUM(H217:H239)</f>
        <v>17199.619047619046</v>
      </c>
      <c r="I241" s="26"/>
      <c r="J241" s="26"/>
      <c r="K241" s="26">
        <f>SUM(K217:K239)</f>
        <v>4334.5499999999993</v>
      </c>
      <c r="L241" s="26">
        <f>SUM(L217:L239)</f>
        <v>58950</v>
      </c>
      <c r="N241" s="44">
        <f>N225+N228+4000+1858</f>
        <v>40194</v>
      </c>
      <c r="Q241" s="26">
        <f>SUM(Q217:Q234)</f>
        <v>1450</v>
      </c>
      <c r="R241" s="26">
        <f>SUM(R217:R238)</f>
        <v>5450</v>
      </c>
      <c r="S241" s="26">
        <f>SUM(S217:S227)</f>
        <v>7557.1428571428569</v>
      </c>
      <c r="U241" s="26">
        <f>SUM(U217:U238)</f>
        <v>58300</v>
      </c>
      <c r="V241" s="26">
        <f>SUM(V217:V234)</f>
        <v>3596</v>
      </c>
      <c r="W241" s="26">
        <f>SUM(W218:W227)</f>
        <v>43000</v>
      </c>
      <c r="X241" s="26">
        <f t="shared" ref="X241:AC241" si="0">SUM(X217:X227)</f>
        <v>0</v>
      </c>
      <c r="Y241" s="26">
        <f>SUM(Y217:Y227)</f>
        <v>0</v>
      </c>
      <c r="Z241" s="26">
        <f>SUM(Z217:Z227)</f>
        <v>12590</v>
      </c>
      <c r="AA241" s="26">
        <f t="shared" si="0"/>
        <v>5060</v>
      </c>
      <c r="AB241" s="26">
        <f t="shared" si="0"/>
        <v>1200</v>
      </c>
      <c r="AC241" s="26">
        <f t="shared" si="0"/>
        <v>3050</v>
      </c>
      <c r="AE241" s="26">
        <f>SUM(AE217:AE227)</f>
        <v>35351.777777777781</v>
      </c>
      <c r="AF241" s="26">
        <f>SUM(AF217:AF228)</f>
        <v>33800</v>
      </c>
      <c r="AG241" s="26"/>
      <c r="AH241" s="26">
        <f>SUM(AH217:AH227)</f>
        <v>2100</v>
      </c>
      <c r="AI241" s="26">
        <f>SUM(AI217:AI228)-99</f>
        <v>2300</v>
      </c>
      <c r="AJ241" s="26"/>
    </row>
    <row r="242" spans="1:38">
      <c r="D242" s="26">
        <f>D241*12+A236+200+200</f>
        <v>40250</v>
      </c>
      <c r="E242" s="123">
        <f>G214+P214+K242-D242-N222-N231</f>
        <v>-16226.669047619052</v>
      </c>
      <c r="F242" s="26">
        <f>F241*12</f>
        <v>10800</v>
      </c>
      <c r="I242" s="26">
        <f>I241*13</f>
        <v>0</v>
      </c>
      <c r="J242" s="65" t="s">
        <v>187</v>
      </c>
      <c r="K242" s="123">
        <f>T242+J214+S214-L242-N241</f>
        <v>438.71095238094858</v>
      </c>
      <c r="L242" s="121">
        <f>K241*13-250</f>
        <v>56099.149999999994</v>
      </c>
      <c r="R242" s="122">
        <f>T242+S214</f>
        <v>94555.194285714271</v>
      </c>
      <c r="S242" s="24">
        <f>R241*12+300-1200-1200-300+50+50-1800-100-100</f>
        <v>61100</v>
      </c>
      <c r="T242" s="60">
        <f>L214+U214-S242-W241+AD242-Z241</f>
        <v>-396.43904761905287</v>
      </c>
      <c r="AC242" s="65" t="s">
        <v>187</v>
      </c>
      <c r="AD242" s="60">
        <f>N214+W214-AF241-AH241-AI241-S201-AL220</f>
        <v>-1154.8666666666613</v>
      </c>
      <c r="AJ242" s="45" t="s">
        <v>270</v>
      </c>
      <c r="AK242" s="45"/>
      <c r="AL242" s="45"/>
    </row>
    <row r="243" spans="1:38">
      <c r="A243" s="66" t="s">
        <v>205</v>
      </c>
      <c r="B243" s="66"/>
      <c r="C243" s="66"/>
      <c r="D243" s="66"/>
    </row>
    <row r="244" spans="1:38">
      <c r="A244" s="66"/>
      <c r="B244" s="66"/>
      <c r="C244" s="66"/>
      <c r="D244" s="66"/>
    </row>
    <row r="245" spans="1:38">
      <c r="A245" s="33" t="s">
        <v>171</v>
      </c>
      <c r="B245" s="33"/>
      <c r="C245" s="33"/>
      <c r="D245" s="33"/>
      <c r="G245" t="s">
        <v>844</v>
      </c>
      <c r="H245" t="s">
        <v>845</v>
      </c>
    </row>
    <row r="246" spans="1:38">
      <c r="A246" s="66"/>
      <c r="B246" s="66"/>
      <c r="C246" s="66"/>
      <c r="D246" s="66"/>
    </row>
    <row r="247" spans="1:38">
      <c r="A247" s="24" t="s">
        <v>165</v>
      </c>
      <c r="E247" s="24" t="s">
        <v>393</v>
      </c>
      <c r="H247" s="24" t="s">
        <v>369</v>
      </c>
      <c r="I247" s="44">
        <f>100+300+100+300+200+100+100+100+120+348-54</f>
        <v>1714</v>
      </c>
      <c r="J247" s="24" t="s">
        <v>22</v>
      </c>
      <c r="K247" s="26">
        <f>SUM(E248:E256)</f>
        <v>1980</v>
      </c>
      <c r="L247" s="24" t="s">
        <v>167</v>
      </c>
      <c r="M247" s="44">
        <f>SUM(K247-I247)-SUM(I248-K248)/3.5</f>
        <v>-62.571428571428555</v>
      </c>
    </row>
    <row r="248" spans="1:38">
      <c r="A248" s="24" t="s">
        <v>166</v>
      </c>
      <c r="E248" s="44">
        <f>100+100</f>
        <v>200</v>
      </c>
      <c r="F248" s="44"/>
      <c r="G248" s="44"/>
      <c r="I248" s="34">
        <f>1500+1000</f>
        <v>2500</v>
      </c>
      <c r="K248" s="34">
        <f>H253+H255</f>
        <v>1350</v>
      </c>
    </row>
    <row r="249" spans="1:38">
      <c r="A249" s="24" t="s">
        <v>169</v>
      </c>
      <c r="E249" s="44">
        <f>180+100</f>
        <v>280</v>
      </c>
      <c r="F249" s="44"/>
      <c r="G249" s="44"/>
    </row>
    <row r="250" spans="1:38">
      <c r="A250" s="68" t="s">
        <v>200</v>
      </c>
      <c r="B250" s="68"/>
      <c r="C250" s="68"/>
      <c r="E250" s="44">
        <v>250</v>
      </c>
      <c r="F250" s="44"/>
      <c r="G250" s="44"/>
    </row>
    <row r="251" spans="1:38">
      <c r="A251" s="68" t="s">
        <v>201</v>
      </c>
      <c r="B251" s="68"/>
      <c r="C251" s="68"/>
      <c r="E251" s="44">
        <v>200</v>
      </c>
      <c r="F251" s="44"/>
      <c r="G251" s="44"/>
      <c r="K251" s="70" t="s">
        <v>304</v>
      </c>
    </row>
    <row r="252" spans="1:38">
      <c r="A252" s="68" t="s">
        <v>203</v>
      </c>
      <c r="B252" s="68"/>
      <c r="C252" s="68"/>
      <c r="E252" s="44">
        <v>250</v>
      </c>
      <c r="F252" s="44"/>
      <c r="G252" s="44"/>
      <c r="K252" s="24" t="s">
        <v>64</v>
      </c>
      <c r="L252" s="44">
        <v>300</v>
      </c>
      <c r="M252"/>
      <c r="N252"/>
    </row>
    <row r="253" spans="1:38">
      <c r="A253" s="68" t="s">
        <v>298</v>
      </c>
      <c r="B253" s="68"/>
      <c r="C253" s="68"/>
      <c r="E253" s="44">
        <v>300</v>
      </c>
      <c r="F253" s="44"/>
      <c r="G253" s="44"/>
      <c r="H253" s="34">
        <v>1200</v>
      </c>
      <c r="K253" s="24" t="s">
        <v>299</v>
      </c>
      <c r="L253" s="44">
        <f>12*L252</f>
        <v>3600</v>
      </c>
      <c r="M253" s="24" t="s">
        <v>312</v>
      </c>
      <c r="O253" s="44">
        <f>F259+F260*12+F261+F262*12+F263*12+J263+F265+I265/3.5</f>
        <v>3899.5714285714284</v>
      </c>
    </row>
    <row r="254" spans="1:38">
      <c r="A254" s="80" t="s">
        <v>432</v>
      </c>
      <c r="B254" s="80"/>
      <c r="C254" s="80"/>
      <c r="E254" s="44"/>
      <c r="F254" s="44"/>
      <c r="G254" s="44"/>
      <c r="H254" s="34"/>
      <c r="K254" s="24" t="s">
        <v>301</v>
      </c>
      <c r="L254" s="44">
        <f>M247+L253-F260*12-F261-F262*12-F263*12-J263-F265-I265/3.5</f>
        <v>-337.142857142857</v>
      </c>
      <c r="M254" s="24" t="s">
        <v>313</v>
      </c>
      <c r="O254" s="44">
        <f>O253-L252*11</f>
        <v>599.57142857142844</v>
      </c>
    </row>
    <row r="255" spans="1:38">
      <c r="A255" s="68" t="s">
        <v>348</v>
      </c>
      <c r="B255" s="68"/>
      <c r="C255" s="68"/>
      <c r="E255" s="44">
        <v>500</v>
      </c>
      <c r="F255" s="44"/>
      <c r="G255" s="44"/>
      <c r="H255" s="34">
        <v>150</v>
      </c>
    </row>
    <row r="256" spans="1:38">
      <c r="K256" s="24" t="s">
        <v>64</v>
      </c>
      <c r="L256" s="44">
        <v>300</v>
      </c>
      <c r="M256" t="s">
        <v>686</v>
      </c>
      <c r="N256" t="s">
        <v>687</v>
      </c>
    </row>
    <row r="257" spans="1:19">
      <c r="K257" t="s">
        <v>90</v>
      </c>
      <c r="L257" s="44">
        <f>15*300</f>
        <v>4500</v>
      </c>
    </row>
    <row r="258" spans="1:19">
      <c r="A258" s="69" t="s">
        <v>310</v>
      </c>
      <c r="B258" s="69"/>
      <c r="C258" s="69"/>
      <c r="D258" s="188" t="s">
        <v>1631</v>
      </c>
      <c r="E258" s="159" t="s">
        <v>1350</v>
      </c>
      <c r="K258" t="s">
        <v>365</v>
      </c>
      <c r="L258" s="44">
        <f>15*100</f>
        <v>1500</v>
      </c>
    </row>
    <row r="259" spans="1:19">
      <c r="A259" s="80" t="s">
        <v>644</v>
      </c>
      <c r="B259" s="80"/>
      <c r="C259" s="80"/>
      <c r="D259" s="189">
        <v>25</v>
      </c>
      <c r="E259" s="160">
        <v>25</v>
      </c>
      <c r="F259" s="44">
        <v>25</v>
      </c>
      <c r="G259" s="49">
        <v>25</v>
      </c>
      <c r="H259" s="44"/>
      <c r="K259" s="118" t="s">
        <v>201</v>
      </c>
      <c r="L259" s="44">
        <f>14*103</f>
        <v>1442</v>
      </c>
    </row>
    <row r="260" spans="1:19" ht="15.5">
      <c r="A260" s="118" t="s">
        <v>201</v>
      </c>
      <c r="B260" s="118"/>
      <c r="C260" s="118"/>
      <c r="D260" s="188"/>
      <c r="E260" s="160">
        <v>1800</v>
      </c>
      <c r="F260" s="49">
        <v>103</v>
      </c>
      <c r="G260" s="49">
        <v>103</v>
      </c>
      <c r="H260" s="49"/>
      <c r="I260" s="24" t="s">
        <v>202</v>
      </c>
      <c r="K260" t="s">
        <v>102</v>
      </c>
      <c r="L260" s="44">
        <f>14*30</f>
        <v>420</v>
      </c>
      <c r="S260" s="5"/>
    </row>
    <row r="261" spans="1:19" ht="15.5">
      <c r="A261" s="31" t="s">
        <v>159</v>
      </c>
      <c r="B261" s="31"/>
      <c r="C261" s="31"/>
      <c r="D261" s="188"/>
      <c r="E261" s="161"/>
      <c r="F261" s="44">
        <v>500</v>
      </c>
      <c r="G261" s="44"/>
      <c r="H261" s="44"/>
      <c r="K261" t="s">
        <v>690</v>
      </c>
      <c r="L261" s="44">
        <f>2*36</f>
        <v>72</v>
      </c>
      <c r="R261" s="44"/>
      <c r="S261" s="71"/>
    </row>
    <row r="262" spans="1:19">
      <c r="A262" s="24" t="s">
        <v>300</v>
      </c>
      <c r="D262" s="189">
        <v>100</v>
      </c>
      <c r="E262" s="160">
        <v>100</v>
      </c>
      <c r="F262" s="67">
        <v>100</v>
      </c>
      <c r="G262" s="67">
        <v>100</v>
      </c>
      <c r="H262" s="67"/>
      <c r="I262" s="24" t="s">
        <v>64</v>
      </c>
      <c r="J262" s="116"/>
      <c r="K262" t="s">
        <v>348</v>
      </c>
      <c r="L262" s="44">
        <f>E248+E249+E250+E251+E252+E253+E255+F259+F261+F265</f>
        <v>2595</v>
      </c>
      <c r="Q262" s="24" t="s">
        <v>370</v>
      </c>
      <c r="R262" s="44">
        <v>800</v>
      </c>
      <c r="S262" s="24" t="s">
        <v>371</v>
      </c>
    </row>
    <row r="263" spans="1:19">
      <c r="A263" s="24" t="s">
        <v>302</v>
      </c>
      <c r="D263" s="189">
        <v>30</v>
      </c>
      <c r="E263" s="160">
        <v>30</v>
      </c>
      <c r="F263" s="49">
        <v>30</v>
      </c>
      <c r="G263" s="49"/>
      <c r="H263" s="49"/>
      <c r="I263" s="24" t="s">
        <v>355</v>
      </c>
      <c r="J263" s="44">
        <v>150</v>
      </c>
      <c r="K263" t="s">
        <v>688</v>
      </c>
      <c r="L263" s="119">
        <f>(H253+H255+I265)/3.6</f>
        <v>704.16666666666663</v>
      </c>
      <c r="R263" s="44">
        <f>28.5+21.5</f>
        <v>50</v>
      </c>
      <c r="S263" s="24" t="s">
        <v>348</v>
      </c>
    </row>
    <row r="264" spans="1:19">
      <c r="A264" s="118" t="s">
        <v>200</v>
      </c>
      <c r="B264" s="118"/>
      <c r="C264" s="118"/>
      <c r="D264" s="188"/>
      <c r="E264" s="159"/>
      <c r="G264" s="26">
        <v>500</v>
      </c>
      <c r="J264" s="44"/>
      <c r="K264"/>
      <c r="L264" s="119"/>
      <c r="R264" s="44"/>
    </row>
    <row r="265" spans="1:19">
      <c r="A265" s="68" t="s">
        <v>348</v>
      </c>
      <c r="B265" s="68"/>
      <c r="C265" s="68"/>
      <c r="D265" s="189">
        <v>50</v>
      </c>
      <c r="E265" s="159"/>
      <c r="F265" s="44">
        <v>90</v>
      </c>
      <c r="G265" s="127">
        <f>100+100+362+60+360+200+173+18</f>
        <v>1373</v>
      </c>
      <c r="H265" s="44"/>
      <c r="I265" s="34">
        <f>1005+180</f>
        <v>1185</v>
      </c>
      <c r="K265" t="s">
        <v>689</v>
      </c>
      <c r="R265" s="44">
        <v>100</v>
      </c>
      <c r="S265" s="24" t="s">
        <v>348</v>
      </c>
    </row>
    <row r="266" spans="1:19">
      <c r="A266" s="24" t="s">
        <v>90</v>
      </c>
      <c r="D266" s="188"/>
      <c r="E266" s="163">
        <f>200+150+100+400-25+50+100+600+400+300</f>
        <v>2275</v>
      </c>
      <c r="F266" s="26">
        <f>E248+E249+E250+E251+E252+E253+F260*12+F261+F262*12+F263*12+J263+F265</f>
        <v>5016</v>
      </c>
      <c r="G266" s="26"/>
      <c r="H266" s="26"/>
      <c r="L266" s="120">
        <f>L257-L258-L259-L260-L261-L262-L263+I247+I248/3.6</f>
        <v>175.27777777777794</v>
      </c>
      <c r="R266" s="44">
        <v>800</v>
      </c>
      <c r="S266" t="s">
        <v>396</v>
      </c>
    </row>
    <row r="267" spans="1:19">
      <c r="D267" s="189">
        <f>(D259*12+D262*12+D263*12+D265)-3600+(E267-3600)</f>
        <v>-1210</v>
      </c>
      <c r="E267" s="162">
        <f>E259*10+E260+E262*12+E263*6+E266/3.5</f>
        <v>4080</v>
      </c>
      <c r="F267" s="81" t="s">
        <v>740</v>
      </c>
      <c r="G267" s="26">
        <f>G260*12+G259*12+G262*13+G264+G265/3.62</f>
        <v>3715.2817679558011</v>
      </c>
      <c r="H267" s="26"/>
      <c r="R267" s="44">
        <v>200</v>
      </c>
      <c r="S267" s="24" t="s">
        <v>377</v>
      </c>
    </row>
    <row r="268" spans="1:19">
      <c r="A268" s="114" t="s">
        <v>642</v>
      </c>
      <c r="B268" s="114"/>
      <c r="C268" s="114"/>
      <c r="D268" s="188"/>
      <c r="E268" s="187" t="s">
        <v>1627</v>
      </c>
      <c r="F268" s="26"/>
      <c r="G268" s="26"/>
      <c r="H268" s="26"/>
      <c r="R268" s="44">
        <v>1000</v>
      </c>
      <c r="S268" s="24" t="s">
        <v>390</v>
      </c>
    </row>
    <row r="269" spans="1:19">
      <c r="A269" s="115" t="s">
        <v>683</v>
      </c>
      <c r="B269" s="115"/>
      <c r="C269" s="115"/>
      <c r="D269" s="115"/>
      <c r="E269" s="26"/>
      <c r="F269" s="26"/>
      <c r="G269" s="26"/>
      <c r="R269" s="73">
        <v>90</v>
      </c>
      <c r="S269" t="s">
        <v>461</v>
      </c>
    </row>
    <row r="270" spans="1:19">
      <c r="R270" s="73">
        <v>100</v>
      </c>
      <c r="S270" t="s">
        <v>462</v>
      </c>
    </row>
    <row r="271" spans="1:19" ht="15.5">
      <c r="A271" s="66" t="s">
        <v>205</v>
      </c>
      <c r="B271" s="66"/>
      <c r="C271" s="66"/>
      <c r="D271" s="66"/>
      <c r="L271" s="5"/>
      <c r="R271" s="73">
        <v>284</v>
      </c>
      <c r="S271" t="s">
        <v>474</v>
      </c>
    </row>
    <row r="272" spans="1:19" ht="15.5">
      <c r="A272" s="24" t="s">
        <v>368</v>
      </c>
      <c r="L272" s="71"/>
      <c r="R272" s="73">
        <v>1000</v>
      </c>
      <c r="S272" t="s">
        <v>481</v>
      </c>
    </row>
    <row r="273" spans="1:21">
      <c r="A273" s="24" t="s">
        <v>311</v>
      </c>
      <c r="E273" s="44">
        <v>4000</v>
      </c>
      <c r="F273" s="44"/>
      <c r="G273" s="44"/>
      <c r="I273" s="72">
        <v>42993</v>
      </c>
      <c r="J273" s="24">
        <v>300</v>
      </c>
      <c r="R273" s="73">
        <v>350</v>
      </c>
      <c r="S273" t="s">
        <v>496</v>
      </c>
    </row>
    <row r="274" spans="1:21">
      <c r="A274" t="s">
        <v>534</v>
      </c>
      <c r="B274"/>
      <c r="C274"/>
      <c r="D274"/>
      <c r="E274">
        <f>12*200</f>
        <v>2400</v>
      </c>
      <c r="F274"/>
      <c r="G274"/>
      <c r="H274" s="24" t="s">
        <v>336</v>
      </c>
      <c r="J274" s="24">
        <v>1000</v>
      </c>
      <c r="K274" s="70"/>
      <c r="R274" s="73">
        <v>88</v>
      </c>
      <c r="S274" t="s">
        <v>498</v>
      </c>
    </row>
    <row r="275" spans="1:21">
      <c r="A275" s="11" t="s">
        <v>589</v>
      </c>
      <c r="B275" s="11"/>
      <c r="C275" s="11"/>
      <c r="D275"/>
      <c r="I275" s="24" t="s">
        <v>337</v>
      </c>
      <c r="J275" s="24">
        <v>300</v>
      </c>
      <c r="L275" s="44"/>
      <c r="R275" s="73">
        <v>600</v>
      </c>
      <c r="S275" t="s">
        <v>500</v>
      </c>
    </row>
    <row r="276" spans="1:21">
      <c r="A276" t="s">
        <v>90</v>
      </c>
      <c r="B276"/>
      <c r="C276"/>
      <c r="D276"/>
      <c r="E276" s="44">
        <f>E273+E274</f>
        <v>6400</v>
      </c>
      <c r="F276" s="44"/>
      <c r="G276" s="44"/>
      <c r="I276" t="s">
        <v>438</v>
      </c>
      <c r="J276" s="24">
        <v>300</v>
      </c>
      <c r="L276" s="44"/>
      <c r="R276" s="73">
        <v>600</v>
      </c>
      <c r="S276" t="s">
        <v>502</v>
      </c>
    </row>
    <row r="277" spans="1:21">
      <c r="I277" s="24" t="s">
        <v>338</v>
      </c>
      <c r="J277" s="24">
        <v>300</v>
      </c>
      <c r="Q277" t="s">
        <v>509</v>
      </c>
      <c r="R277" s="44">
        <v>1350</v>
      </c>
      <c r="S277" s="7"/>
      <c r="T277" s="7"/>
      <c r="U277" s="91" t="s">
        <v>508</v>
      </c>
    </row>
    <row r="278" spans="1:21">
      <c r="I278" s="24" t="s">
        <v>339</v>
      </c>
      <c r="J278" s="24">
        <v>300</v>
      </c>
      <c r="Q278"/>
      <c r="R278" s="44">
        <v>1000</v>
      </c>
      <c r="S278" t="s">
        <v>513</v>
      </c>
      <c r="T278" s="7"/>
      <c r="U278" s="91"/>
    </row>
    <row r="279" spans="1:21">
      <c r="I279" s="24" t="s">
        <v>340</v>
      </c>
      <c r="J279" s="24">
        <v>300</v>
      </c>
      <c r="R279" s="44">
        <v>1000</v>
      </c>
      <c r="S279" t="s">
        <v>390</v>
      </c>
    </row>
    <row r="280" spans="1:21">
      <c r="I280" s="24" t="s">
        <v>342</v>
      </c>
      <c r="J280" s="24">
        <v>300</v>
      </c>
      <c r="R280" s="44">
        <v>1000</v>
      </c>
      <c r="S280" t="s">
        <v>526</v>
      </c>
    </row>
    <row r="281" spans="1:21">
      <c r="Q281"/>
      <c r="R281" s="73">
        <v>286</v>
      </c>
      <c r="S281" t="s">
        <v>530</v>
      </c>
    </row>
    <row r="282" spans="1:21">
      <c r="I282" s="24" t="s">
        <v>341</v>
      </c>
      <c r="J282" s="24">
        <v>1000</v>
      </c>
      <c r="R282" s="44">
        <v>1100</v>
      </c>
      <c r="S282" t="s">
        <v>532</v>
      </c>
    </row>
    <row r="283" spans="1:21">
      <c r="I283" s="24" t="s">
        <v>343</v>
      </c>
      <c r="J283">
        <v>300</v>
      </c>
      <c r="R283" s="73">
        <v>55.5</v>
      </c>
      <c r="S283" t="s">
        <v>555</v>
      </c>
    </row>
    <row r="284" spans="1:21">
      <c r="I284" s="24" t="s">
        <v>344</v>
      </c>
      <c r="J284">
        <v>300</v>
      </c>
      <c r="R284" s="73">
        <v>70</v>
      </c>
      <c r="S284" t="s">
        <v>560</v>
      </c>
    </row>
    <row r="285" spans="1:21">
      <c r="I285" s="24" t="s">
        <v>345</v>
      </c>
      <c r="J285">
        <v>300</v>
      </c>
      <c r="R285" s="44">
        <v>1100</v>
      </c>
      <c r="S285" t="s">
        <v>592</v>
      </c>
    </row>
    <row r="286" spans="1:21">
      <c r="I286" t="s">
        <v>435</v>
      </c>
      <c r="J286">
        <v>300</v>
      </c>
      <c r="R286" s="73">
        <v>55.5</v>
      </c>
      <c r="S286" t="s">
        <v>572</v>
      </c>
    </row>
    <row r="287" spans="1:21">
      <c r="I287" t="s">
        <v>436</v>
      </c>
      <c r="J287">
        <v>300</v>
      </c>
      <c r="R287" s="73">
        <v>28</v>
      </c>
      <c r="S287" t="s">
        <v>578</v>
      </c>
    </row>
    <row r="288" spans="1:21">
      <c r="I288" t="s">
        <v>437</v>
      </c>
      <c r="J288">
        <v>300</v>
      </c>
      <c r="K288"/>
      <c r="R288" s="44">
        <v>1100</v>
      </c>
      <c r="S288" t="s">
        <v>593</v>
      </c>
    </row>
    <row r="289" spans="1:19">
      <c r="I289" s="24" t="s">
        <v>337</v>
      </c>
      <c r="J289">
        <v>300</v>
      </c>
      <c r="R289" s="73">
        <v>300</v>
      </c>
      <c r="S289" t="s">
        <v>595</v>
      </c>
    </row>
    <row r="290" spans="1:19">
      <c r="I290" t="s">
        <v>438</v>
      </c>
      <c r="J290">
        <v>300</v>
      </c>
      <c r="R290" s="44">
        <v>1100</v>
      </c>
      <c r="S290" t="s">
        <v>607</v>
      </c>
    </row>
    <row r="291" spans="1:19">
      <c r="A291" s="66" t="s">
        <v>391</v>
      </c>
      <c r="B291" s="66"/>
      <c r="C291" s="66"/>
      <c r="D291" s="66"/>
      <c r="I291" t="s">
        <v>708</v>
      </c>
      <c r="J291">
        <v>300</v>
      </c>
      <c r="R291" s="73">
        <v>300</v>
      </c>
      <c r="S291" t="s">
        <v>608</v>
      </c>
    </row>
    <row r="292" spans="1:19" ht="15.5">
      <c r="A292" s="24" t="s">
        <v>392</v>
      </c>
      <c r="I292" s="24" t="s">
        <v>90</v>
      </c>
      <c r="J292" s="26">
        <f>SUM(J273:J291)</f>
        <v>6800</v>
      </c>
      <c r="R292" s="24">
        <f>2650+7380/3.66</f>
        <v>4666.3934426229507</v>
      </c>
      <c r="S292" s="5" t="s">
        <v>623</v>
      </c>
    </row>
    <row r="293" spans="1:19">
      <c r="R293" s="73">
        <v>13548</v>
      </c>
      <c r="S293" t="s">
        <v>635</v>
      </c>
    </row>
    <row r="294" spans="1:19">
      <c r="J294" s="26">
        <f>J292-E276</f>
        <v>400</v>
      </c>
      <c r="K294" s="24" t="s">
        <v>301</v>
      </c>
      <c r="R294" s="44">
        <v>1100</v>
      </c>
      <c r="S294" t="s">
        <v>662</v>
      </c>
    </row>
    <row r="295" spans="1:19">
      <c r="R295" s="73">
        <v>300</v>
      </c>
      <c r="S295" t="s">
        <v>636</v>
      </c>
    </row>
    <row r="296" spans="1:19">
      <c r="R296" s="44">
        <v>1100</v>
      </c>
      <c r="S296" t="s">
        <v>663</v>
      </c>
    </row>
    <row r="297" spans="1:19">
      <c r="R297" s="73">
        <v>300</v>
      </c>
      <c r="S297" t="s">
        <v>648</v>
      </c>
    </row>
    <row r="298" spans="1:19">
      <c r="R298" s="44">
        <v>1100</v>
      </c>
      <c r="S298" t="s">
        <v>664</v>
      </c>
    </row>
    <row r="299" spans="1:19">
      <c r="R299" s="73">
        <v>300</v>
      </c>
      <c r="S299" t="s">
        <v>661</v>
      </c>
    </row>
    <row r="300" spans="1:19">
      <c r="R300" s="44">
        <v>1100</v>
      </c>
      <c r="S300" t="s">
        <v>673</v>
      </c>
    </row>
    <row r="301" spans="1:19">
      <c r="R301" s="73">
        <v>91</v>
      </c>
      <c r="S301" t="s">
        <v>711</v>
      </c>
    </row>
    <row r="302" spans="1:19">
      <c r="P302"/>
      <c r="R302" s="73">
        <v>300</v>
      </c>
      <c r="S302" t="s">
        <v>714</v>
      </c>
    </row>
    <row r="303" spans="1:19">
      <c r="R303" s="44">
        <v>900</v>
      </c>
      <c r="S303" t="s">
        <v>715</v>
      </c>
    </row>
    <row r="304" spans="1:19">
      <c r="R304" s="73">
        <v>300</v>
      </c>
      <c r="S304" t="s">
        <v>716</v>
      </c>
    </row>
    <row r="305" spans="1:21">
      <c r="R305" s="102">
        <v>1500</v>
      </c>
      <c r="S305" s="109" t="s">
        <v>739</v>
      </c>
      <c r="U305"/>
    </row>
    <row r="306" spans="1:21">
      <c r="R306" s="73">
        <v>27</v>
      </c>
      <c r="S306" s="109" t="s">
        <v>760</v>
      </c>
    </row>
    <row r="307" spans="1:21">
      <c r="R307" s="44">
        <v>1000</v>
      </c>
      <c r="S307" t="s">
        <v>762</v>
      </c>
    </row>
    <row r="308" spans="1:21">
      <c r="R308" s="73">
        <v>300</v>
      </c>
      <c r="S308" t="s">
        <v>763</v>
      </c>
    </row>
    <row r="309" spans="1:21">
      <c r="R309" s="73">
        <v>128</v>
      </c>
      <c r="S309" s="109" t="s">
        <v>779</v>
      </c>
    </row>
    <row r="310" spans="1:21">
      <c r="H310"/>
      <c r="R310" s="44">
        <v>1000</v>
      </c>
      <c r="S310" s="7" t="s">
        <v>783</v>
      </c>
    </row>
    <row r="311" spans="1:21">
      <c r="R311" s="73">
        <v>300</v>
      </c>
      <c r="S311" t="s">
        <v>864</v>
      </c>
    </row>
    <row r="312" spans="1:21">
      <c r="R312" s="44">
        <v>1000</v>
      </c>
      <c r="S312" s="7" t="s">
        <v>880</v>
      </c>
    </row>
    <row r="313" spans="1:21">
      <c r="R313" s="73">
        <v>300</v>
      </c>
      <c r="S313" t="s">
        <v>865</v>
      </c>
    </row>
    <row r="314" spans="1:21">
      <c r="R314" s="73">
        <v>100</v>
      </c>
      <c r="S314" t="s">
        <v>884</v>
      </c>
    </row>
    <row r="315" spans="1:21">
      <c r="R315" s="81">
        <f>17129+1800-32.5</f>
        <v>18896.5</v>
      </c>
      <c r="S315" t="s">
        <v>885</v>
      </c>
    </row>
    <row r="316" spans="1:21">
      <c r="A316" t="s">
        <v>397</v>
      </c>
      <c r="B316"/>
      <c r="C316"/>
      <c r="D316" s="24">
        <v>300</v>
      </c>
      <c r="E316" s="24">
        <f t="shared" ref="E316:E325" si="1">D316*12</f>
        <v>3600</v>
      </c>
      <c r="F316" s="24">
        <v>1900</v>
      </c>
      <c r="R316" s="73">
        <v>1000</v>
      </c>
      <c r="S316" t="s">
        <v>900</v>
      </c>
    </row>
    <row r="317" spans="1:21">
      <c r="A317" t="s">
        <v>398</v>
      </c>
      <c r="B317"/>
      <c r="C317"/>
      <c r="D317" s="29">
        <v>300</v>
      </c>
      <c r="E317" s="24">
        <f t="shared" si="1"/>
        <v>3600</v>
      </c>
      <c r="F317" s="24">
        <v>3600</v>
      </c>
      <c r="R317" s="73">
        <v>100</v>
      </c>
      <c r="S317" s="109" t="s">
        <v>904</v>
      </c>
    </row>
    <row r="318" spans="1:21">
      <c r="A318" t="s">
        <v>399</v>
      </c>
      <c r="B318"/>
      <c r="C318"/>
      <c r="D318" s="29">
        <v>300</v>
      </c>
      <c r="E318" s="24">
        <f t="shared" si="1"/>
        <v>3600</v>
      </c>
      <c r="F318" s="24">
        <v>2400</v>
      </c>
      <c r="R318" s="73">
        <v>600</v>
      </c>
      <c r="S318" t="s">
        <v>921</v>
      </c>
    </row>
    <row r="319" spans="1:21">
      <c r="A319" s="6" t="s">
        <v>402</v>
      </c>
      <c r="B319" s="6"/>
      <c r="C319" s="6"/>
      <c r="D319">
        <v>300</v>
      </c>
      <c r="E319" s="24">
        <f t="shared" si="1"/>
        <v>3600</v>
      </c>
      <c r="F319">
        <v>3600</v>
      </c>
      <c r="R319" s="73">
        <v>2.2999999999999998</v>
      </c>
      <c r="S319" t="s">
        <v>925</v>
      </c>
    </row>
    <row r="320" spans="1:21">
      <c r="A320" s="24" t="s">
        <v>303</v>
      </c>
      <c r="D320" s="29">
        <v>300</v>
      </c>
      <c r="E320" s="24">
        <f t="shared" si="1"/>
        <v>3600</v>
      </c>
      <c r="F320">
        <v>3000</v>
      </c>
      <c r="R320" s="73">
        <v>1000</v>
      </c>
      <c r="S320" s="7" t="s">
        <v>942</v>
      </c>
    </row>
    <row r="321" spans="1:19">
      <c r="A321" s="24" t="s">
        <v>165</v>
      </c>
      <c r="D321">
        <v>300</v>
      </c>
      <c r="E321" s="24">
        <f t="shared" si="1"/>
        <v>3600</v>
      </c>
      <c r="F321">
        <v>3600</v>
      </c>
      <c r="R321" s="73">
        <v>1100</v>
      </c>
      <c r="S321" s="7" t="s">
        <v>943</v>
      </c>
    </row>
    <row r="322" spans="1:19">
      <c r="A322" t="s">
        <v>531</v>
      </c>
      <c r="B322"/>
      <c r="C322"/>
      <c r="D322" s="29">
        <v>300</v>
      </c>
      <c r="E322" s="24">
        <f t="shared" si="1"/>
        <v>3600</v>
      </c>
      <c r="F322">
        <v>1200</v>
      </c>
      <c r="R322" s="73">
        <v>50</v>
      </c>
      <c r="S322" t="s">
        <v>944</v>
      </c>
    </row>
    <row r="323" spans="1:19">
      <c r="A323" t="s">
        <v>418</v>
      </c>
      <c r="B323"/>
      <c r="C323"/>
      <c r="D323">
        <v>250</v>
      </c>
      <c r="E323" s="24">
        <f t="shared" si="1"/>
        <v>3000</v>
      </c>
      <c r="F323">
        <v>2400</v>
      </c>
      <c r="R323" s="73">
        <v>200</v>
      </c>
      <c r="S323" t="s">
        <v>950</v>
      </c>
    </row>
    <row r="324" spans="1:19">
      <c r="A324" t="s">
        <v>536</v>
      </c>
      <c r="B324"/>
      <c r="C324"/>
      <c r="D324">
        <v>300</v>
      </c>
      <c r="E324" s="24">
        <f t="shared" si="1"/>
        <v>3600</v>
      </c>
      <c r="F324">
        <v>1800</v>
      </c>
      <c r="R324" s="73">
        <v>40</v>
      </c>
      <c r="S324" t="s">
        <v>949</v>
      </c>
    </row>
    <row r="325" spans="1:19">
      <c r="A325" t="s">
        <v>1680</v>
      </c>
      <c r="B325"/>
      <c r="C325"/>
      <c r="D325">
        <v>250</v>
      </c>
      <c r="E325" s="24">
        <f t="shared" si="1"/>
        <v>3000</v>
      </c>
      <c r="F325">
        <v>1200</v>
      </c>
      <c r="R325" s="73">
        <v>442</v>
      </c>
      <c r="S325" t="s">
        <v>959</v>
      </c>
    </row>
    <row r="326" spans="1:19">
      <c r="A326" s="193" t="s">
        <v>1682</v>
      </c>
      <c r="B326" s="193"/>
      <c r="C326" s="193"/>
      <c r="D326">
        <v>380</v>
      </c>
      <c r="F326">
        <f>D326*12</f>
        <v>4560</v>
      </c>
      <c r="R326" s="73">
        <v>56</v>
      </c>
      <c r="S326" s="109" t="s">
        <v>985</v>
      </c>
    </row>
    <row r="327" spans="1:19">
      <c r="A327" s="192">
        <v>0.2</v>
      </c>
      <c r="B327" s="192"/>
      <c r="C327" s="192"/>
      <c r="F327" s="24">
        <f>E328*0.2</f>
        <v>6960</v>
      </c>
      <c r="R327" s="73">
        <v>1100</v>
      </c>
      <c r="S327" s="7" t="s">
        <v>986</v>
      </c>
    </row>
    <row r="328" spans="1:19">
      <c r="E328" s="24">
        <f>SUM(E316:E326)</f>
        <v>34800</v>
      </c>
      <c r="F328" s="24">
        <f>SUM(F316:F327)</f>
        <v>36220</v>
      </c>
      <c r="R328" s="73">
        <v>141</v>
      </c>
      <c r="S328" t="s">
        <v>990</v>
      </c>
    </row>
    <row r="329" spans="1:19">
      <c r="H329" s="44"/>
      <c r="I329"/>
      <c r="R329" s="73">
        <v>28</v>
      </c>
      <c r="S329" s="109" t="s">
        <v>760</v>
      </c>
    </row>
    <row r="330" spans="1:19">
      <c r="F330" s="24" t="s">
        <v>1683</v>
      </c>
      <c r="H330" s="44"/>
      <c r="I330"/>
      <c r="R330" s="73">
        <v>170</v>
      </c>
      <c r="S330" s="109" t="s">
        <v>1044</v>
      </c>
    </row>
    <row r="331" spans="1:19">
      <c r="H331" s="44"/>
      <c r="I331"/>
      <c r="R331" s="73">
        <v>1000</v>
      </c>
      <c r="S331" s="7" t="s">
        <v>1065</v>
      </c>
    </row>
    <row r="332" spans="1:19">
      <c r="H332" s="44"/>
      <c r="I332"/>
      <c r="R332" s="73">
        <v>12</v>
      </c>
      <c r="S332" s="7" t="s">
        <v>1088</v>
      </c>
    </row>
    <row r="333" spans="1:19" ht="15.5">
      <c r="H333" s="44"/>
      <c r="I333"/>
      <c r="R333" s="73">
        <v>149</v>
      </c>
      <c r="S333" s="148" t="s">
        <v>1093</v>
      </c>
    </row>
    <row r="334" spans="1:19">
      <c r="H334" s="44"/>
      <c r="I334"/>
      <c r="R334" s="73">
        <v>900</v>
      </c>
      <c r="S334" s="7" t="s">
        <v>1166</v>
      </c>
    </row>
    <row r="335" spans="1:19">
      <c r="H335" s="44"/>
      <c r="I335"/>
      <c r="R335" s="73">
        <v>800</v>
      </c>
      <c r="S335" s="7" t="s">
        <v>1195</v>
      </c>
    </row>
    <row r="336" spans="1:19">
      <c r="H336" s="44"/>
      <c r="I336"/>
      <c r="R336" s="73">
        <v>29</v>
      </c>
      <c r="S336" s="109" t="s">
        <v>760</v>
      </c>
    </row>
    <row r="337" spans="8:19">
      <c r="H337" s="44"/>
      <c r="I337"/>
      <c r="R337" s="73">
        <v>12907</v>
      </c>
      <c r="S337" s="7" t="s">
        <v>1183</v>
      </c>
    </row>
    <row r="338" spans="8:19">
      <c r="H338" s="44"/>
      <c r="I338"/>
      <c r="R338" s="73">
        <v>5000</v>
      </c>
      <c r="S338" s="7" t="s">
        <v>1214</v>
      </c>
    </row>
    <row r="339" spans="8:19">
      <c r="H339" s="44"/>
      <c r="I339"/>
      <c r="R339" s="73">
        <v>900</v>
      </c>
      <c r="S339" s="7" t="s">
        <v>1415</v>
      </c>
    </row>
    <row r="340" spans="8:19">
      <c r="H340" s="44"/>
      <c r="I340"/>
      <c r="R340" s="73">
        <v>900</v>
      </c>
      <c r="S340" s="7" t="s">
        <v>1236</v>
      </c>
    </row>
    <row r="341" spans="8:19">
      <c r="H341" s="44"/>
      <c r="I341"/>
      <c r="R341" s="73">
        <f>R336/2</f>
        <v>14.5</v>
      </c>
      <c r="S341" s="109" t="s">
        <v>1307</v>
      </c>
    </row>
    <row r="342" spans="8:19">
      <c r="H342" s="44"/>
      <c r="I342"/>
      <c r="R342" s="73">
        <v>900</v>
      </c>
      <c r="S342" s="7" t="s">
        <v>1308</v>
      </c>
    </row>
    <row r="343" spans="8:19">
      <c r="H343" s="44"/>
      <c r="I343"/>
      <c r="R343" s="73">
        <v>50</v>
      </c>
      <c r="S343" s="109" t="s">
        <v>1324</v>
      </c>
    </row>
    <row r="344" spans="8:19">
      <c r="H344" s="44"/>
      <c r="I344"/>
      <c r="R344" s="73">
        <v>29</v>
      </c>
      <c r="S344" s="109" t="s">
        <v>760</v>
      </c>
    </row>
    <row r="345" spans="8:19">
      <c r="H345" s="44"/>
      <c r="I345"/>
      <c r="R345" s="73">
        <v>900</v>
      </c>
      <c r="S345" s="7" t="s">
        <v>1326</v>
      </c>
    </row>
    <row r="346" spans="8:19">
      <c r="H346" s="44"/>
      <c r="I346"/>
      <c r="R346" s="73">
        <v>14.5</v>
      </c>
      <c r="S346" s="109" t="s">
        <v>1329</v>
      </c>
    </row>
    <row r="347" spans="8:19">
      <c r="H347" s="44"/>
      <c r="I347"/>
      <c r="R347" s="73">
        <v>250</v>
      </c>
      <c r="S347" s="109" t="s">
        <v>1349</v>
      </c>
    </row>
    <row r="348" spans="8:19">
      <c r="H348" s="44"/>
      <c r="I348"/>
      <c r="R348" s="73">
        <v>58</v>
      </c>
      <c r="S348" s="109" t="s">
        <v>985</v>
      </c>
    </row>
    <row r="349" spans="8:19">
      <c r="H349" s="44"/>
      <c r="I349"/>
      <c r="R349" s="73">
        <v>900</v>
      </c>
      <c r="S349" s="7" t="s">
        <v>1437</v>
      </c>
    </row>
    <row r="350" spans="8:19">
      <c r="H350" s="44"/>
      <c r="I350"/>
      <c r="R350" s="73">
        <v>250</v>
      </c>
      <c r="S350" s="109" t="s">
        <v>1414</v>
      </c>
    </row>
    <row r="351" spans="8:19">
      <c r="H351" s="44"/>
      <c r="I351"/>
      <c r="R351" s="73">
        <v>250</v>
      </c>
      <c r="S351" s="109" t="s">
        <v>1501</v>
      </c>
    </row>
    <row r="352" spans="8:19">
      <c r="H352" s="44"/>
      <c r="I352"/>
      <c r="R352" s="73">
        <v>1500</v>
      </c>
      <c r="S352" s="109" t="s">
        <v>1503</v>
      </c>
    </row>
    <row r="353" spans="8:19">
      <c r="H353" s="44"/>
      <c r="I353"/>
      <c r="R353" s="73">
        <v>900</v>
      </c>
      <c r="S353" s="7" t="s">
        <v>1492</v>
      </c>
    </row>
    <row r="354" spans="8:19">
      <c r="H354" s="44"/>
      <c r="I354"/>
      <c r="R354" s="73">
        <v>250</v>
      </c>
      <c r="S354" s="109" t="s">
        <v>1493</v>
      </c>
    </row>
    <row r="355" spans="8:19">
      <c r="H355" s="44"/>
      <c r="I355"/>
      <c r="R355" s="73">
        <v>1500</v>
      </c>
      <c r="S355" s="109" t="s">
        <v>1496</v>
      </c>
    </row>
    <row r="356" spans="8:19">
      <c r="H356" s="44"/>
      <c r="I356"/>
      <c r="R356" s="73">
        <v>501</v>
      </c>
      <c r="S356" s="109" t="s">
        <v>1502</v>
      </c>
    </row>
    <row r="357" spans="8:19">
      <c r="H357" s="44"/>
      <c r="I357"/>
      <c r="R357" s="73">
        <v>43</v>
      </c>
      <c r="S357" s="111" t="s">
        <v>1571</v>
      </c>
    </row>
    <row r="358" spans="8:19">
      <c r="H358" s="44"/>
      <c r="I358"/>
      <c r="R358" s="73">
        <v>5000</v>
      </c>
      <c r="S358" s="7" t="s">
        <v>1517</v>
      </c>
    </row>
    <row r="359" spans="8:19">
      <c r="H359" s="44"/>
      <c r="I359"/>
      <c r="R359" s="73">
        <v>900</v>
      </c>
      <c r="S359" s="7" t="s">
        <v>1548</v>
      </c>
    </row>
    <row r="360" spans="8:19">
      <c r="H360" s="44"/>
      <c r="I360"/>
      <c r="R360" s="73">
        <v>250</v>
      </c>
      <c r="S360" s="109" t="s">
        <v>1549</v>
      </c>
    </row>
    <row r="361" spans="8:19">
      <c r="H361" s="44"/>
      <c r="I361"/>
      <c r="R361" s="44">
        <v>428</v>
      </c>
      <c r="S361" s="79" t="s">
        <v>1553</v>
      </c>
    </row>
    <row r="362" spans="8:19">
      <c r="H362" s="44"/>
      <c r="I362"/>
      <c r="R362" s="44">
        <v>350</v>
      </c>
      <c r="S362" s="79" t="s">
        <v>1554</v>
      </c>
    </row>
    <row r="363" spans="8:19">
      <c r="H363" s="44"/>
      <c r="I363"/>
      <c r="R363" s="44">
        <v>350</v>
      </c>
      <c r="S363" s="79" t="s">
        <v>1555</v>
      </c>
    </row>
    <row r="364" spans="8:19">
      <c r="H364" s="44"/>
      <c r="I364"/>
      <c r="R364" s="73">
        <v>900</v>
      </c>
      <c r="S364" s="7" t="s">
        <v>1558</v>
      </c>
    </row>
    <row r="365" spans="8:19">
      <c r="H365" s="44"/>
      <c r="I365"/>
      <c r="R365" s="73">
        <v>250</v>
      </c>
      <c r="S365" s="109" t="s">
        <v>1559</v>
      </c>
    </row>
    <row r="366" spans="8:19">
      <c r="H366" s="44"/>
      <c r="I366"/>
      <c r="R366" s="44">
        <v>29</v>
      </c>
      <c r="S366" s="111" t="s">
        <v>1572</v>
      </c>
    </row>
    <row r="367" spans="8:19">
      <c r="H367" s="44"/>
      <c r="I367"/>
      <c r="R367" s="73">
        <v>900</v>
      </c>
      <c r="S367" s="7" t="s">
        <v>1573</v>
      </c>
    </row>
    <row r="368" spans="8:19">
      <c r="H368" s="44"/>
      <c r="I368"/>
      <c r="R368" s="73">
        <v>250</v>
      </c>
      <c r="S368" s="109" t="s">
        <v>1574</v>
      </c>
    </row>
    <row r="369" spans="8:19">
      <c r="H369" s="44"/>
      <c r="I369"/>
      <c r="R369" s="44">
        <v>100</v>
      </c>
      <c r="S369" s="111" t="s">
        <v>1575</v>
      </c>
    </row>
    <row r="370" spans="8:19">
      <c r="H370" s="44"/>
      <c r="I370"/>
      <c r="R370" s="44">
        <v>300</v>
      </c>
      <c r="S370" s="111" t="s">
        <v>1578</v>
      </c>
    </row>
    <row r="371" spans="8:19">
      <c r="H371" s="44"/>
      <c r="I371"/>
      <c r="R371" s="44">
        <f>1725+260</f>
        <v>1985</v>
      </c>
      <c r="S371" s="111" t="s">
        <v>1582</v>
      </c>
    </row>
    <row r="372" spans="8:19">
      <c r="H372" s="44"/>
      <c r="I372"/>
      <c r="R372" s="44">
        <v>100</v>
      </c>
      <c r="S372" s="111" t="s">
        <v>1580</v>
      </c>
    </row>
    <row r="373" spans="8:19">
      <c r="H373" s="44"/>
      <c r="I373"/>
      <c r="R373" s="44">
        <v>117</v>
      </c>
      <c r="S373" s="111" t="s">
        <v>1583</v>
      </c>
    </row>
    <row r="374" spans="8:19">
      <c r="H374" s="44"/>
      <c r="I374"/>
      <c r="R374" s="73">
        <v>900</v>
      </c>
      <c r="S374" s="7" t="s">
        <v>1585</v>
      </c>
    </row>
    <row r="375" spans="8:19">
      <c r="H375" s="44"/>
      <c r="I375"/>
      <c r="R375" s="73">
        <v>250</v>
      </c>
      <c r="S375" s="109" t="s">
        <v>1588</v>
      </c>
    </row>
    <row r="376" spans="8:19">
      <c r="H376" s="44"/>
      <c r="I376"/>
      <c r="R376" s="73">
        <v>200</v>
      </c>
      <c r="S376" s="7" t="s">
        <v>1594</v>
      </c>
    </row>
    <row r="377" spans="8:19">
      <c r="H377" s="44"/>
      <c r="I377"/>
      <c r="R377" s="44">
        <v>100</v>
      </c>
      <c r="S377" s="111" t="s">
        <v>1597</v>
      </c>
    </row>
    <row r="378" spans="8:19">
      <c r="H378" s="44"/>
      <c r="I378"/>
      <c r="R378" s="73">
        <v>900</v>
      </c>
      <c r="S378" s="7" t="s">
        <v>1605</v>
      </c>
    </row>
    <row r="379" spans="8:19">
      <c r="H379" s="44"/>
      <c r="I379"/>
      <c r="R379" s="73">
        <v>250</v>
      </c>
      <c r="S379" s="109" t="s">
        <v>1606</v>
      </c>
    </row>
    <row r="380" spans="8:19">
      <c r="H380" s="44"/>
      <c r="I380"/>
      <c r="R380" s="73">
        <v>200</v>
      </c>
      <c r="S380" s="7" t="s">
        <v>1608</v>
      </c>
    </row>
    <row r="381" spans="8:19">
      <c r="H381" s="44"/>
      <c r="I381"/>
      <c r="R381" s="73">
        <v>14.75</v>
      </c>
      <c r="S381" s="111" t="s">
        <v>1621</v>
      </c>
    </row>
    <row r="382" spans="8:19">
      <c r="H382" s="44"/>
      <c r="I382"/>
      <c r="R382" s="44">
        <v>100</v>
      </c>
      <c r="S382" s="111" t="s">
        <v>1610</v>
      </c>
    </row>
    <row r="383" spans="8:19">
      <c r="H383" s="44"/>
      <c r="I383"/>
      <c r="R383" s="73">
        <v>900</v>
      </c>
      <c r="S383" s="7" t="s">
        <v>1611</v>
      </c>
    </row>
    <row r="384" spans="8:19">
      <c r="H384" s="44"/>
      <c r="I384"/>
      <c r="R384" s="73">
        <v>250</v>
      </c>
      <c r="S384" s="109" t="s">
        <v>1658</v>
      </c>
    </row>
    <row r="385" spans="8:19">
      <c r="H385" s="44"/>
      <c r="I385"/>
      <c r="R385" s="73">
        <v>200</v>
      </c>
      <c r="S385" s="7" t="s">
        <v>1623</v>
      </c>
    </row>
    <row r="386" spans="8:19">
      <c r="H386" s="44"/>
      <c r="I386"/>
      <c r="R386" s="44">
        <v>100</v>
      </c>
      <c r="S386" s="111" t="s">
        <v>1612</v>
      </c>
    </row>
    <row r="387" spans="8:19">
      <c r="H387" s="44"/>
      <c r="I387"/>
      <c r="R387" s="73">
        <v>29.5</v>
      </c>
      <c r="S387" s="111" t="s">
        <v>1626</v>
      </c>
    </row>
    <row r="388" spans="8:19">
      <c r="H388" s="44"/>
      <c r="I388"/>
      <c r="R388" s="73">
        <v>176.5</v>
      </c>
      <c r="S388" s="111" t="s">
        <v>1628</v>
      </c>
    </row>
    <row r="389" spans="8:19">
      <c r="H389" s="44"/>
      <c r="I389"/>
      <c r="R389" s="73">
        <v>900</v>
      </c>
      <c r="S389" s="7" t="s">
        <v>1613</v>
      </c>
    </row>
    <row r="390" spans="8:19">
      <c r="H390" s="44"/>
      <c r="I390"/>
      <c r="R390" s="73">
        <v>250</v>
      </c>
      <c r="S390" s="109" t="s">
        <v>1659</v>
      </c>
    </row>
    <row r="391" spans="8:19">
      <c r="H391" s="44"/>
      <c r="I391"/>
      <c r="R391" s="73">
        <v>200</v>
      </c>
      <c r="S391" s="7" t="s">
        <v>1645</v>
      </c>
    </row>
    <row r="392" spans="8:19">
      <c r="H392" s="44"/>
      <c r="I392"/>
      <c r="R392" s="44">
        <v>100</v>
      </c>
      <c r="S392" s="111" t="s">
        <v>1614</v>
      </c>
    </row>
    <row r="393" spans="8:19">
      <c r="H393" s="44"/>
      <c r="I393"/>
      <c r="R393" s="73">
        <f>900-100</f>
        <v>800</v>
      </c>
      <c r="S393" s="7" t="s">
        <v>1615</v>
      </c>
    </row>
    <row r="394" spans="8:19">
      <c r="H394" s="44"/>
      <c r="I394"/>
      <c r="R394" s="73">
        <v>250</v>
      </c>
      <c r="S394" s="109" t="s">
        <v>1660</v>
      </c>
    </row>
    <row r="395" spans="8:19">
      <c r="H395" s="44"/>
      <c r="I395"/>
      <c r="R395" s="73">
        <v>200</v>
      </c>
      <c r="S395" s="7" t="s">
        <v>1657</v>
      </c>
    </row>
    <row r="396" spans="8:19">
      <c r="H396" s="44"/>
      <c r="I396"/>
      <c r="R396" s="44">
        <v>100</v>
      </c>
      <c r="S396" s="111" t="s">
        <v>1616</v>
      </c>
    </row>
    <row r="397" spans="8:19">
      <c r="H397" s="44"/>
      <c r="I397"/>
      <c r="R397" s="44">
        <v>1800</v>
      </c>
      <c r="S397" s="111" t="s">
        <v>1667</v>
      </c>
    </row>
    <row r="398" spans="8:19">
      <c r="H398" s="44"/>
      <c r="I398"/>
      <c r="R398" s="73">
        <f>900-100</f>
        <v>800</v>
      </c>
      <c r="S398" s="7" t="s">
        <v>1661</v>
      </c>
    </row>
    <row r="399" spans="8:19">
      <c r="H399" s="44"/>
      <c r="I399"/>
      <c r="R399" s="73">
        <v>250</v>
      </c>
      <c r="S399" s="109" t="s">
        <v>1662</v>
      </c>
    </row>
    <row r="400" spans="8:19">
      <c r="H400" s="44"/>
      <c r="I400"/>
      <c r="R400" s="73">
        <v>200</v>
      </c>
      <c r="S400" s="7" t="s">
        <v>1676</v>
      </c>
    </row>
    <row r="401" spans="8:19">
      <c r="H401" s="44"/>
      <c r="I401"/>
      <c r="R401" s="44">
        <v>100</v>
      </c>
      <c r="S401" s="111" t="s">
        <v>1663</v>
      </c>
    </row>
    <row r="402" spans="8:19">
      <c r="H402" s="44"/>
      <c r="I402"/>
      <c r="R402" s="44">
        <v>70</v>
      </c>
      <c r="S402" s="111" t="s">
        <v>1671</v>
      </c>
    </row>
    <row r="403" spans="8:19">
      <c r="H403" s="44"/>
      <c r="I403"/>
      <c r="R403" s="73">
        <v>92</v>
      </c>
      <c r="S403" s="109" t="s">
        <v>1672</v>
      </c>
    </row>
    <row r="404" spans="8:19">
      <c r="H404" s="44"/>
      <c r="I404"/>
      <c r="R404" s="73">
        <v>-720</v>
      </c>
      <c r="S404" s="111" t="s">
        <v>1677</v>
      </c>
    </row>
    <row r="405" spans="8:19">
      <c r="H405" s="44"/>
      <c r="I405"/>
      <c r="R405" s="73">
        <v>500</v>
      </c>
      <c r="S405" s="111" t="s">
        <v>1695</v>
      </c>
    </row>
    <row r="406" spans="8:19">
      <c r="H406" s="44"/>
      <c r="I406"/>
      <c r="R406" s="73">
        <f>900-100</f>
        <v>800</v>
      </c>
      <c r="S406" s="7" t="s">
        <v>1714</v>
      </c>
    </row>
    <row r="407" spans="8:19">
      <c r="H407" s="44"/>
      <c r="I407"/>
      <c r="R407" s="73">
        <v>300</v>
      </c>
      <c r="S407" s="109" t="s">
        <v>1785</v>
      </c>
    </row>
    <row r="408" spans="8:19">
      <c r="H408" s="44"/>
      <c r="I408"/>
      <c r="R408" s="73">
        <v>200</v>
      </c>
      <c r="S408" s="7" t="s">
        <v>1715</v>
      </c>
    </row>
    <row r="409" spans="8:19">
      <c r="H409" s="44"/>
      <c r="I409"/>
      <c r="R409" s="73">
        <f>900-100</f>
        <v>800</v>
      </c>
      <c r="S409" s="7" t="s">
        <v>1437</v>
      </c>
    </row>
    <row r="410" spans="8:19">
      <c r="H410" s="44"/>
      <c r="I410"/>
      <c r="R410" s="73">
        <v>300</v>
      </c>
      <c r="S410" s="109" t="s">
        <v>1786</v>
      </c>
    </row>
    <row r="411" spans="8:19">
      <c r="H411" s="44"/>
      <c r="I411"/>
      <c r="R411" s="73">
        <v>200</v>
      </c>
      <c r="S411" s="7" t="s">
        <v>1720</v>
      </c>
    </row>
    <row r="412" spans="8:19">
      <c r="H412" s="44"/>
      <c r="I412"/>
      <c r="R412" s="73">
        <f>900-100</f>
        <v>800</v>
      </c>
      <c r="S412" s="7" t="s">
        <v>1492</v>
      </c>
    </row>
    <row r="413" spans="8:19">
      <c r="H413" s="44"/>
      <c r="I413"/>
      <c r="R413" s="73">
        <v>300</v>
      </c>
      <c r="S413" s="109" t="s">
        <v>1787</v>
      </c>
    </row>
    <row r="414" spans="8:19">
      <c r="H414" s="44"/>
      <c r="I414"/>
      <c r="R414" s="73">
        <v>200</v>
      </c>
      <c r="S414" s="7" t="s">
        <v>1763</v>
      </c>
    </row>
    <row r="415" spans="8:19">
      <c r="H415" s="44"/>
      <c r="I415"/>
      <c r="R415" s="73">
        <f>900-100</f>
        <v>800</v>
      </c>
      <c r="S415" s="7" t="s">
        <v>1548</v>
      </c>
    </row>
    <row r="416" spans="8:19">
      <c r="H416" s="44"/>
      <c r="I416"/>
      <c r="R416" s="73">
        <v>300</v>
      </c>
      <c r="S416" s="109" t="s">
        <v>1788</v>
      </c>
    </row>
    <row r="417" spans="8:19">
      <c r="H417" s="44"/>
      <c r="I417"/>
      <c r="R417" s="73">
        <v>200</v>
      </c>
      <c r="S417" s="7" t="s">
        <v>1766</v>
      </c>
    </row>
    <row r="418" spans="8:19">
      <c r="H418" s="44"/>
      <c r="I418"/>
      <c r="R418" s="73">
        <f>900-100</f>
        <v>800</v>
      </c>
      <c r="S418" s="7" t="s">
        <v>1558</v>
      </c>
    </row>
    <row r="419" spans="8:19">
      <c r="H419" s="44"/>
      <c r="I419"/>
      <c r="R419" s="73">
        <v>300</v>
      </c>
      <c r="S419" s="109" t="s">
        <v>1789</v>
      </c>
    </row>
    <row r="420" spans="8:19">
      <c r="H420" s="44"/>
      <c r="I420"/>
      <c r="R420" s="73">
        <v>200</v>
      </c>
      <c r="S420" s="7" t="s">
        <v>1790</v>
      </c>
    </row>
    <row r="421" spans="8:19">
      <c r="H421" s="44"/>
      <c r="I421"/>
      <c r="R421" s="73">
        <v>62.39</v>
      </c>
      <c r="S421" s="7" t="s">
        <v>1791</v>
      </c>
    </row>
    <row r="422" spans="8:19">
      <c r="H422" s="44"/>
      <c r="I422"/>
      <c r="R422" s="73">
        <f>900-100</f>
        <v>800</v>
      </c>
      <c r="S422" s="7" t="s">
        <v>1573</v>
      </c>
    </row>
    <row r="423" spans="8:19">
      <c r="H423" s="44"/>
      <c r="I423"/>
      <c r="R423" s="73">
        <v>300</v>
      </c>
      <c r="S423" s="109" t="s">
        <v>1795</v>
      </c>
    </row>
    <row r="424" spans="8:19">
      <c r="H424" s="44"/>
      <c r="I424"/>
      <c r="R424" s="73">
        <v>200</v>
      </c>
      <c r="S424" s="7" t="s">
        <v>1796</v>
      </c>
    </row>
    <row r="425" spans="8:19">
      <c r="H425" s="44"/>
      <c r="I425"/>
      <c r="R425" s="73">
        <f>900-100</f>
        <v>800</v>
      </c>
      <c r="S425" s="7" t="s">
        <v>1585</v>
      </c>
    </row>
    <row r="426" spans="8:19">
      <c r="H426" s="44"/>
      <c r="I426"/>
      <c r="R426" s="73">
        <v>300</v>
      </c>
      <c r="S426" s="109" t="s">
        <v>1802</v>
      </c>
    </row>
    <row r="427" spans="8:19">
      <c r="H427" s="44"/>
      <c r="I427"/>
      <c r="R427" s="73">
        <v>200</v>
      </c>
      <c r="S427" s="7" t="s">
        <v>1803</v>
      </c>
    </row>
    <row r="428" spans="8:19">
      <c r="H428" s="44"/>
      <c r="I428"/>
      <c r="R428" s="73">
        <v>50</v>
      </c>
      <c r="S428" s="109" t="s">
        <v>1805</v>
      </c>
    </row>
    <row r="429" spans="8:19">
      <c r="H429" s="44"/>
      <c r="I429"/>
      <c r="R429" s="73">
        <f>900-100</f>
        <v>800</v>
      </c>
      <c r="S429" s="7" t="s">
        <v>1605</v>
      </c>
    </row>
    <row r="430" spans="8:19">
      <c r="H430" s="44"/>
      <c r="I430"/>
      <c r="R430" s="73">
        <v>300</v>
      </c>
      <c r="S430" s="109" t="s">
        <v>1822</v>
      </c>
    </row>
    <row r="431" spans="8:19">
      <c r="H431" s="44"/>
      <c r="I431"/>
      <c r="R431" s="73">
        <v>200</v>
      </c>
      <c r="S431" s="7" t="s">
        <v>1806</v>
      </c>
    </row>
    <row r="432" spans="8:19">
      <c r="H432" s="44"/>
      <c r="I432"/>
      <c r="R432" s="73">
        <f>900-100</f>
        <v>800</v>
      </c>
      <c r="S432" s="7" t="s">
        <v>1611</v>
      </c>
    </row>
    <row r="433" spans="8:19">
      <c r="H433" s="44"/>
      <c r="I433"/>
      <c r="R433" s="73">
        <v>300</v>
      </c>
      <c r="S433" s="109" t="s">
        <v>1823</v>
      </c>
    </row>
    <row r="434" spans="8:19">
      <c r="H434" s="44"/>
      <c r="I434"/>
      <c r="R434" s="73">
        <v>200</v>
      </c>
      <c r="S434" s="7" t="s">
        <v>1821</v>
      </c>
    </row>
    <row r="435" spans="8:19">
      <c r="H435" s="44"/>
      <c r="I435"/>
      <c r="R435" s="73">
        <v>800</v>
      </c>
      <c r="S435" s="7" t="s">
        <v>1865</v>
      </c>
    </row>
    <row r="436" spans="8:19">
      <c r="H436" s="44"/>
      <c r="I436"/>
      <c r="R436" s="73">
        <v>300</v>
      </c>
      <c r="S436" s="109" t="s">
        <v>1854</v>
      </c>
    </row>
    <row r="437" spans="8:19">
      <c r="H437" s="44"/>
      <c r="I437"/>
      <c r="R437" s="73">
        <v>200</v>
      </c>
      <c r="S437" s="7" t="s">
        <v>1855</v>
      </c>
    </row>
    <row r="438" spans="8:19">
      <c r="H438" s="44"/>
      <c r="I438"/>
      <c r="R438" s="73">
        <v>800</v>
      </c>
      <c r="S438" s="7" t="s">
        <v>1615</v>
      </c>
    </row>
    <row r="439" spans="8:19">
      <c r="H439" s="44"/>
      <c r="I439"/>
      <c r="R439" s="73">
        <v>300</v>
      </c>
      <c r="S439" s="109" t="s">
        <v>1853</v>
      </c>
    </row>
    <row r="440" spans="8:19">
      <c r="H440" s="44"/>
      <c r="I440"/>
      <c r="R440" s="73">
        <v>200</v>
      </c>
      <c r="S440" s="7" t="s">
        <v>1856</v>
      </c>
    </row>
    <row r="441" spans="8:19">
      <c r="H441" s="44"/>
      <c r="I441"/>
      <c r="R441" s="73">
        <v>800</v>
      </c>
      <c r="S441" s="7" t="s">
        <v>1661</v>
      </c>
    </row>
    <row r="442" spans="8:19">
      <c r="H442" s="44"/>
      <c r="I442"/>
      <c r="R442" s="73">
        <v>300</v>
      </c>
      <c r="S442" s="109" t="s">
        <v>1894</v>
      </c>
    </row>
    <row r="443" spans="8:19">
      <c r="H443" s="44"/>
      <c r="I443"/>
      <c r="R443" s="73">
        <v>200</v>
      </c>
      <c r="S443" s="7" t="s">
        <v>1895</v>
      </c>
    </row>
    <row r="444" spans="8:19">
      <c r="H444" s="44"/>
      <c r="I444"/>
      <c r="R444" s="73">
        <v>800</v>
      </c>
      <c r="S444" s="7" t="s">
        <v>1914</v>
      </c>
    </row>
    <row r="445" spans="8:19">
      <c r="H445" s="44"/>
      <c r="I445"/>
      <c r="R445" s="73">
        <v>200</v>
      </c>
      <c r="S445" s="7" t="s">
        <v>1913</v>
      </c>
    </row>
    <row r="446" spans="8:19">
      <c r="H446" s="44"/>
      <c r="I446"/>
      <c r="R446" s="73">
        <v>800</v>
      </c>
      <c r="S446" s="7" t="s">
        <v>1437</v>
      </c>
    </row>
    <row r="447" spans="8:19">
      <c r="H447" s="44"/>
      <c r="I447"/>
      <c r="R447" s="73">
        <v>900</v>
      </c>
      <c r="S447" s="7" t="s">
        <v>1921</v>
      </c>
    </row>
    <row r="448" spans="8:19">
      <c r="H448" s="44"/>
      <c r="I448"/>
      <c r="R448" s="73">
        <v>2100</v>
      </c>
      <c r="S448" s="7" t="s">
        <v>1922</v>
      </c>
    </row>
    <row r="449" spans="8:19">
      <c r="H449" s="44"/>
      <c r="I449"/>
      <c r="R449" s="73">
        <v>2160</v>
      </c>
      <c r="S449" s="7" t="s">
        <v>1926</v>
      </c>
    </row>
    <row r="450" spans="8:19">
      <c r="H450" s="44"/>
      <c r="I450"/>
      <c r="R450" s="73">
        <v>200</v>
      </c>
      <c r="S450" s="7" t="s">
        <v>1944</v>
      </c>
    </row>
    <row r="451" spans="8:19">
      <c r="H451" s="44"/>
      <c r="I451"/>
      <c r="R451" s="73">
        <v>200</v>
      </c>
      <c r="S451" s="7" t="s">
        <v>1945</v>
      </c>
    </row>
    <row r="452" spans="8:19">
      <c r="H452" s="44"/>
      <c r="I452"/>
      <c r="R452" s="145">
        <v>200</v>
      </c>
      <c r="S452" s="7" t="s">
        <v>1946</v>
      </c>
    </row>
    <row r="453" spans="8:19">
      <c r="H453" s="44"/>
      <c r="I453"/>
      <c r="R453" s="73">
        <v>800</v>
      </c>
      <c r="S453" s="7" t="s">
        <v>1958</v>
      </c>
    </row>
    <row r="454" spans="8:19">
      <c r="H454" s="44"/>
      <c r="I454"/>
      <c r="R454" s="73">
        <v>800</v>
      </c>
      <c r="S454" s="7" t="s">
        <v>1952</v>
      </c>
    </row>
    <row r="455" spans="8:19">
      <c r="H455" s="44"/>
      <c r="I455"/>
      <c r="R455" s="73">
        <v>800</v>
      </c>
      <c r="S455" s="7" t="s">
        <v>1548</v>
      </c>
    </row>
    <row r="456" spans="8:19">
      <c r="H456" s="44"/>
      <c r="I456"/>
      <c r="R456" s="145">
        <v>200</v>
      </c>
      <c r="S456" s="7" t="s">
        <v>1953</v>
      </c>
    </row>
    <row r="457" spans="8:19">
      <c r="H457" s="44"/>
      <c r="I457"/>
      <c r="R457" s="73">
        <v>14.85</v>
      </c>
      <c r="S457" s="7" t="s">
        <v>1955</v>
      </c>
    </row>
    <row r="458" spans="8:19">
      <c r="H458" s="44"/>
      <c r="I458"/>
      <c r="R458" s="73">
        <v>800</v>
      </c>
      <c r="S458" s="7" t="s">
        <v>1558</v>
      </c>
    </row>
    <row r="459" spans="8:19">
      <c r="H459" s="44"/>
      <c r="I459"/>
      <c r="R459" s="145">
        <v>200</v>
      </c>
      <c r="S459" s="7" t="s">
        <v>1959</v>
      </c>
    </row>
    <row r="460" spans="8:19">
      <c r="H460" s="44"/>
      <c r="I460"/>
      <c r="R460" s="73">
        <v>800</v>
      </c>
      <c r="S460" s="7" t="s">
        <v>1573</v>
      </c>
    </row>
    <row r="461" spans="8:19">
      <c r="H461" s="44"/>
      <c r="I461"/>
      <c r="R461" s="145">
        <v>200</v>
      </c>
      <c r="S461" s="7" t="s">
        <v>1974</v>
      </c>
    </row>
    <row r="462" spans="8:19">
      <c r="H462" s="44"/>
      <c r="I462"/>
      <c r="R462" s="73">
        <v>800</v>
      </c>
      <c r="S462" s="7" t="s">
        <v>1585</v>
      </c>
    </row>
    <row r="463" spans="8:19">
      <c r="H463" s="44"/>
      <c r="I463"/>
      <c r="R463" s="145">
        <v>200</v>
      </c>
      <c r="S463" s="7" t="s">
        <v>1982</v>
      </c>
    </row>
    <row r="464" spans="8:19">
      <c r="H464" s="44"/>
      <c r="I464"/>
      <c r="R464" s="73">
        <v>800</v>
      </c>
      <c r="S464" s="7" t="s">
        <v>1605</v>
      </c>
    </row>
    <row r="465" spans="8:19">
      <c r="H465" s="44"/>
      <c r="I465"/>
      <c r="R465" s="145">
        <v>200</v>
      </c>
      <c r="S465" s="7" t="s">
        <v>1992</v>
      </c>
    </row>
    <row r="466" spans="8:19">
      <c r="H466" s="44"/>
      <c r="I466"/>
      <c r="R466" s="73">
        <v>800</v>
      </c>
      <c r="S466" s="7" t="s">
        <v>1611</v>
      </c>
    </row>
    <row r="467" spans="8:19">
      <c r="H467" s="44"/>
      <c r="I467"/>
      <c r="R467" s="145">
        <v>200</v>
      </c>
      <c r="S467" s="169" t="s">
        <v>2021</v>
      </c>
    </row>
    <row r="468" spans="8:19">
      <c r="H468" s="44"/>
      <c r="I468"/>
      <c r="R468" s="73">
        <v>800</v>
      </c>
      <c r="S468" s="7" t="s">
        <v>1613</v>
      </c>
    </row>
    <row r="470" spans="8:19">
      <c r="Q470" s="24" t="s">
        <v>90</v>
      </c>
      <c r="R470" s="26">
        <f>SUM(R255:R469)</f>
        <v>156859.18344262298</v>
      </c>
    </row>
    <row r="472" spans="8:19">
      <c r="R472" s="44">
        <v>1500</v>
      </c>
      <c r="S472" s="24" t="s">
        <v>372</v>
      </c>
    </row>
    <row r="473" spans="8:19">
      <c r="P473"/>
      <c r="Q473" t="s">
        <v>341</v>
      </c>
      <c r="R473" s="44">
        <v>480</v>
      </c>
      <c r="S473" t="s">
        <v>588</v>
      </c>
    </row>
    <row r="474" spans="8:19">
      <c r="Q474" t="s">
        <v>491</v>
      </c>
      <c r="R474" s="44">
        <v>500</v>
      </c>
      <c r="S474" t="s">
        <v>490</v>
      </c>
    </row>
    <row r="475" spans="8:19">
      <c r="Q475" t="s">
        <v>491</v>
      </c>
      <c r="R475" s="44">
        <v>500</v>
      </c>
      <c r="S475" s="7" t="s">
        <v>492</v>
      </c>
    </row>
    <row r="476" spans="8:19">
      <c r="P476"/>
      <c r="Q476" t="s">
        <v>491</v>
      </c>
      <c r="R476" s="44">
        <v>200</v>
      </c>
      <c r="S476" s="7" t="s">
        <v>493</v>
      </c>
    </row>
    <row r="477" spans="8:19">
      <c r="P477" t="s">
        <v>66</v>
      </c>
      <c r="Q477" t="s">
        <v>514</v>
      </c>
      <c r="R477" s="44">
        <v>80</v>
      </c>
      <c r="S477" t="s">
        <v>587</v>
      </c>
    </row>
    <row r="478" spans="8:19">
      <c r="Q478" t="s">
        <v>341</v>
      </c>
      <c r="R478" s="44">
        <v>300</v>
      </c>
      <c r="S478" t="s">
        <v>495</v>
      </c>
    </row>
    <row r="479" spans="8:19">
      <c r="Q479" t="s">
        <v>341</v>
      </c>
      <c r="R479" s="44">
        <v>500</v>
      </c>
      <c r="S479" t="s">
        <v>374</v>
      </c>
    </row>
    <row r="480" spans="8:19">
      <c r="Q480" t="s">
        <v>341</v>
      </c>
      <c r="R480" s="44">
        <v>800</v>
      </c>
      <c r="S480" t="s">
        <v>492</v>
      </c>
    </row>
    <row r="481" spans="5:19">
      <c r="Q481" t="s">
        <v>491</v>
      </c>
      <c r="R481" s="44">
        <v>39</v>
      </c>
      <c r="S481" t="s">
        <v>494</v>
      </c>
    </row>
    <row r="482" spans="5:19">
      <c r="Q482" t="s">
        <v>491</v>
      </c>
      <c r="R482" s="44">
        <v>700</v>
      </c>
      <c r="S482" t="s">
        <v>501</v>
      </c>
    </row>
    <row r="483" spans="5:19">
      <c r="Q483" t="s">
        <v>491</v>
      </c>
      <c r="R483" s="73">
        <v>500</v>
      </c>
      <c r="S483" t="s">
        <v>522</v>
      </c>
    </row>
    <row r="484" spans="5:19">
      <c r="Q484" t="s">
        <v>341</v>
      </c>
      <c r="R484" s="73">
        <v>250</v>
      </c>
      <c r="S484" t="s">
        <v>522</v>
      </c>
    </row>
    <row r="485" spans="5:19">
      <c r="Q485" t="s">
        <v>341</v>
      </c>
      <c r="R485" s="44">
        <v>72</v>
      </c>
      <c r="S485" t="s">
        <v>504</v>
      </c>
    </row>
    <row r="486" spans="5:19">
      <c r="Q486" t="s">
        <v>341</v>
      </c>
      <c r="R486" s="44">
        <v>500</v>
      </c>
      <c r="S486" t="s">
        <v>511</v>
      </c>
    </row>
    <row r="487" spans="5:19">
      <c r="Q487" t="s">
        <v>341</v>
      </c>
      <c r="R487" s="44">
        <v>36</v>
      </c>
      <c r="S487" t="s">
        <v>512</v>
      </c>
    </row>
    <row r="488" spans="5:19">
      <c r="Q488" t="s">
        <v>341</v>
      </c>
      <c r="R488" s="44">
        <v>300</v>
      </c>
      <c r="S488" t="s">
        <v>515</v>
      </c>
    </row>
    <row r="489" spans="5:19">
      <c r="Q489" t="s">
        <v>341</v>
      </c>
      <c r="R489" s="73">
        <v>280</v>
      </c>
      <c r="S489" t="s">
        <v>516</v>
      </c>
    </row>
    <row r="490" spans="5:19">
      <c r="Q490" t="s">
        <v>341</v>
      </c>
      <c r="R490" s="73">
        <v>150</v>
      </c>
      <c r="S490" t="s">
        <v>517</v>
      </c>
    </row>
    <row r="491" spans="5:19">
      <c r="Q491" t="s">
        <v>341</v>
      </c>
      <c r="R491" s="73">
        <v>1000</v>
      </c>
      <c r="S491" t="s">
        <v>523</v>
      </c>
    </row>
    <row r="492" spans="5:19">
      <c r="Q492" s="101">
        <v>44621</v>
      </c>
      <c r="R492" s="73">
        <v>1000</v>
      </c>
      <c r="S492" t="s">
        <v>535</v>
      </c>
    </row>
    <row r="493" spans="5:19">
      <c r="E493"/>
      <c r="F493"/>
      <c r="G493"/>
      <c r="Q493" t="s">
        <v>341</v>
      </c>
      <c r="R493" s="44">
        <v>390</v>
      </c>
      <c r="S493" t="s">
        <v>541</v>
      </c>
    </row>
    <row r="494" spans="5:19">
      <c r="E494"/>
      <c r="F494"/>
      <c r="G494"/>
      <c r="Q494" s="104" t="s">
        <v>557</v>
      </c>
      <c r="R494" s="73">
        <v>2000</v>
      </c>
      <c r="S494" t="s">
        <v>460</v>
      </c>
    </row>
    <row r="495" spans="5:19">
      <c r="E495"/>
      <c r="F495"/>
      <c r="G495"/>
      <c r="Q495" t="s">
        <v>439</v>
      </c>
      <c r="R495" s="73">
        <v>5000</v>
      </c>
    </row>
    <row r="496" spans="5:19">
      <c r="E496"/>
      <c r="F496"/>
      <c r="G496"/>
      <c r="Q496" s="104" t="s">
        <v>567</v>
      </c>
      <c r="R496" s="44">
        <v>1500</v>
      </c>
      <c r="S496" t="s">
        <v>568</v>
      </c>
    </row>
    <row r="497" spans="5:19">
      <c r="E497"/>
      <c r="F497"/>
      <c r="G497"/>
      <c r="Q497" s="104" t="s">
        <v>567</v>
      </c>
      <c r="R497" s="73">
        <v>103</v>
      </c>
      <c r="S497" t="s">
        <v>582</v>
      </c>
    </row>
    <row r="498" spans="5:19">
      <c r="E498"/>
      <c r="F498"/>
      <c r="G498"/>
      <c r="Q498" s="104" t="s">
        <v>567</v>
      </c>
      <c r="R498" s="44">
        <v>180</v>
      </c>
      <c r="S498" s="110" t="s">
        <v>597</v>
      </c>
    </row>
    <row r="499" spans="5:19">
      <c r="E499"/>
      <c r="F499"/>
      <c r="G499"/>
      <c r="Q499" s="112" t="s">
        <v>567</v>
      </c>
      <c r="R499" s="73">
        <v>200</v>
      </c>
      <c r="S499" s="111" t="s">
        <v>599</v>
      </c>
    </row>
    <row r="500" spans="5:19">
      <c r="E500"/>
      <c r="F500"/>
      <c r="G500"/>
      <c r="Q500" s="112" t="s">
        <v>567</v>
      </c>
      <c r="R500" s="73">
        <v>200</v>
      </c>
      <c r="S500" s="111" t="s">
        <v>600</v>
      </c>
    </row>
    <row r="501" spans="5:19" ht="15.5">
      <c r="Q501" s="112" t="s">
        <v>567</v>
      </c>
      <c r="R501" s="73">
        <v>500</v>
      </c>
      <c r="S501" s="39" t="s">
        <v>288</v>
      </c>
    </row>
    <row r="502" spans="5:19">
      <c r="Q502" s="112" t="s">
        <v>567</v>
      </c>
      <c r="R502" s="73">
        <v>371</v>
      </c>
      <c r="S502" s="8" t="s">
        <v>603</v>
      </c>
    </row>
    <row r="503" spans="5:19">
      <c r="Q503" s="112" t="s">
        <v>567</v>
      </c>
      <c r="R503" s="73">
        <v>180</v>
      </c>
      <c r="S503" s="7" t="s">
        <v>604</v>
      </c>
    </row>
    <row r="504" spans="5:19">
      <c r="Q504" s="112" t="s">
        <v>567</v>
      </c>
      <c r="R504" s="73">
        <v>100</v>
      </c>
      <c r="S504" s="7" t="s">
        <v>605</v>
      </c>
    </row>
    <row r="505" spans="5:19">
      <c r="Q505" s="112" t="s">
        <v>567</v>
      </c>
      <c r="R505" s="73">
        <v>1000</v>
      </c>
      <c r="S505" s="7" t="s">
        <v>493</v>
      </c>
    </row>
    <row r="506" spans="5:19">
      <c r="Q506" s="112" t="s">
        <v>567</v>
      </c>
      <c r="R506" s="73">
        <v>200</v>
      </c>
      <c r="S506" s="7" t="s">
        <v>606</v>
      </c>
    </row>
    <row r="507" spans="5:19">
      <c r="Q507" s="112" t="s">
        <v>567</v>
      </c>
      <c r="R507" s="73">
        <f>180+180</f>
        <v>360</v>
      </c>
      <c r="S507" s="7" t="s">
        <v>570</v>
      </c>
    </row>
    <row r="508" spans="5:19">
      <c r="Q508" s="112" t="s">
        <v>567</v>
      </c>
      <c r="R508" s="73">
        <v>136</v>
      </c>
      <c r="S508" s="7" t="s">
        <v>609</v>
      </c>
    </row>
    <row r="509" spans="5:19">
      <c r="Q509" s="112" t="s">
        <v>567</v>
      </c>
      <c r="R509" s="73">
        <v>1200</v>
      </c>
      <c r="S509" s="7" t="s">
        <v>610</v>
      </c>
    </row>
    <row r="510" spans="5:19">
      <c r="Q510" s="112" t="s">
        <v>567</v>
      </c>
      <c r="R510" s="73">
        <v>5400</v>
      </c>
      <c r="S510" s="7" t="s">
        <v>611</v>
      </c>
    </row>
    <row r="511" spans="5:19">
      <c r="Q511" s="112" t="s">
        <v>567</v>
      </c>
      <c r="R511" s="73">
        <v>2500</v>
      </c>
      <c r="S511" s="7" t="s">
        <v>612</v>
      </c>
    </row>
    <row r="512" spans="5:19">
      <c r="Q512" s="112" t="s">
        <v>567</v>
      </c>
      <c r="R512" s="73">
        <v>118</v>
      </c>
      <c r="S512" t="s">
        <v>615</v>
      </c>
    </row>
    <row r="513" spans="17:19">
      <c r="Q513" s="112" t="s">
        <v>567</v>
      </c>
      <c r="R513" s="73">
        <v>2000</v>
      </c>
      <c r="S513" s="79" t="s">
        <v>645</v>
      </c>
    </row>
    <row r="514" spans="17:19">
      <c r="Q514" s="112"/>
      <c r="R514" s="73">
        <v>3000</v>
      </c>
      <c r="S514" s="91" t="s">
        <v>649</v>
      </c>
    </row>
    <row r="515" spans="17:19">
      <c r="Q515" s="112" t="s">
        <v>567</v>
      </c>
      <c r="R515" s="73">
        <v>1000</v>
      </c>
      <c r="S515" s="79" t="s">
        <v>660</v>
      </c>
    </row>
    <row r="516" spans="17:19">
      <c r="R516" s="73">
        <v>360</v>
      </c>
      <c r="S516" t="s">
        <v>675</v>
      </c>
    </row>
    <row r="517" spans="17:19">
      <c r="Q517" s="112" t="s">
        <v>567</v>
      </c>
      <c r="R517" s="73">
        <v>1200</v>
      </c>
      <c r="S517" s="7" t="s">
        <v>698</v>
      </c>
    </row>
    <row r="518" spans="17:19">
      <c r="Q518" s="112" t="s">
        <v>567</v>
      </c>
      <c r="R518" s="73">
        <v>100</v>
      </c>
      <c r="S518" t="s">
        <v>699</v>
      </c>
    </row>
    <row r="519" spans="17:19">
      <c r="Q519" s="112" t="s">
        <v>567</v>
      </c>
      <c r="R519" s="73">
        <v>150</v>
      </c>
      <c r="S519" t="s">
        <v>696</v>
      </c>
    </row>
    <row r="520" spans="17:19">
      <c r="Q520" s="112" t="s">
        <v>567</v>
      </c>
      <c r="R520" s="73">
        <v>1000</v>
      </c>
      <c r="S520" s="79" t="s">
        <v>660</v>
      </c>
    </row>
    <row r="521" spans="17:19">
      <c r="R521" s="73">
        <v>2045.58</v>
      </c>
      <c r="S521" t="s">
        <v>720</v>
      </c>
    </row>
    <row r="522" spans="17:19">
      <c r="Q522" s="112" t="s">
        <v>567</v>
      </c>
      <c r="R522" s="73">
        <v>150</v>
      </c>
      <c r="S522" t="s">
        <v>719</v>
      </c>
    </row>
    <row r="523" spans="17:19">
      <c r="Q523" s="112"/>
      <c r="R523" s="73">
        <v>500</v>
      </c>
      <c r="S523" s="8" t="s">
        <v>721</v>
      </c>
    </row>
    <row r="524" spans="17:19">
      <c r="Q524" s="112" t="s">
        <v>567</v>
      </c>
      <c r="R524" s="73">
        <v>150</v>
      </c>
      <c r="S524" s="79" t="s">
        <v>703</v>
      </c>
    </row>
    <row r="525" spans="17:19">
      <c r="Q525" s="112" t="s">
        <v>567</v>
      </c>
      <c r="R525" s="73">
        <v>100</v>
      </c>
      <c r="S525" t="s">
        <v>726</v>
      </c>
    </row>
    <row r="526" spans="17:19">
      <c r="Q526" s="112" t="s">
        <v>567</v>
      </c>
      <c r="R526" s="73">
        <v>180</v>
      </c>
      <c r="S526" s="111" t="s">
        <v>599</v>
      </c>
    </row>
    <row r="527" spans="17:19">
      <c r="Q527" s="112" t="s">
        <v>567</v>
      </c>
      <c r="R527" s="73">
        <v>150</v>
      </c>
      <c r="S527" s="111" t="s">
        <v>729</v>
      </c>
    </row>
    <row r="528" spans="17:19">
      <c r="Q528" s="112" t="s">
        <v>567</v>
      </c>
      <c r="R528" s="73">
        <v>34</v>
      </c>
      <c r="S528" s="79" t="s">
        <v>730</v>
      </c>
    </row>
    <row r="529" spans="6:19">
      <c r="Q529" s="112" t="s">
        <v>567</v>
      </c>
      <c r="R529" s="73">
        <v>180</v>
      </c>
      <c r="S529" t="s">
        <v>736</v>
      </c>
    </row>
    <row r="530" spans="6:19">
      <c r="Q530" s="112" t="s">
        <v>567</v>
      </c>
      <c r="R530" s="73">
        <v>100</v>
      </c>
      <c r="S530" t="s">
        <v>724</v>
      </c>
    </row>
    <row r="531" spans="6:19">
      <c r="Q531" s="112" t="s">
        <v>567</v>
      </c>
      <c r="R531" s="73">
        <v>54</v>
      </c>
      <c r="S531" s="7" t="s">
        <v>737</v>
      </c>
    </row>
    <row r="532" spans="6:19">
      <c r="Q532" s="112" t="s">
        <v>567</v>
      </c>
      <c r="R532" s="73">
        <v>75</v>
      </c>
      <c r="S532" s="7" t="s">
        <v>738</v>
      </c>
    </row>
    <row r="533" spans="6:19">
      <c r="Q533" s="112" t="s">
        <v>567</v>
      </c>
      <c r="R533" s="73">
        <v>500</v>
      </c>
      <c r="S533" s="91" t="s">
        <v>540</v>
      </c>
    </row>
    <row r="534" spans="6:19">
      <c r="Q534" s="112" t="s">
        <v>567</v>
      </c>
      <c r="R534" s="73">
        <v>100</v>
      </c>
      <c r="S534" s="7" t="s">
        <v>609</v>
      </c>
    </row>
    <row r="535" spans="6:19">
      <c r="Q535" s="112" t="s">
        <v>567</v>
      </c>
      <c r="R535" s="73">
        <v>180</v>
      </c>
      <c r="S535" s="7" t="s">
        <v>603</v>
      </c>
    </row>
    <row r="536" spans="6:19">
      <c r="P536"/>
      <c r="Q536" s="112" t="s">
        <v>567</v>
      </c>
      <c r="R536" s="73">
        <v>150</v>
      </c>
      <c r="S536" s="7" t="s">
        <v>743</v>
      </c>
    </row>
    <row r="537" spans="6:19">
      <c r="Q537" s="112" t="s">
        <v>567</v>
      </c>
      <c r="R537" s="73">
        <v>30</v>
      </c>
      <c r="S537" s="7" t="s">
        <v>744</v>
      </c>
    </row>
    <row r="538" spans="6:19">
      <c r="Q538" s="112" t="s">
        <v>567</v>
      </c>
      <c r="R538" s="73">
        <v>130</v>
      </c>
      <c r="S538" s="7" t="s">
        <v>745</v>
      </c>
    </row>
    <row r="539" spans="6:19">
      <c r="R539" s="73">
        <v>300</v>
      </c>
      <c r="S539" s="7" t="s">
        <v>718</v>
      </c>
    </row>
    <row r="540" spans="6:19">
      <c r="Q540" s="112" t="s">
        <v>567</v>
      </c>
      <c r="R540" s="73">
        <v>135</v>
      </c>
      <c r="S540" s="8" t="s">
        <v>748</v>
      </c>
    </row>
    <row r="541" spans="6:19">
      <c r="Q541" s="112" t="s">
        <v>567</v>
      </c>
      <c r="R541" s="73">
        <v>1800</v>
      </c>
      <c r="S541" s="7" t="s">
        <v>750</v>
      </c>
    </row>
    <row r="542" spans="6:19">
      <c r="Q542" s="112" t="s">
        <v>567</v>
      </c>
      <c r="R542" s="73">
        <v>2100</v>
      </c>
      <c r="S542" s="109" t="s">
        <v>63</v>
      </c>
    </row>
    <row r="543" spans="6:19">
      <c r="Q543" s="112" t="s">
        <v>567</v>
      </c>
      <c r="R543" s="73">
        <v>250</v>
      </c>
      <c r="S543" s="109" t="s">
        <v>751</v>
      </c>
    </row>
    <row r="544" spans="6:19">
      <c r="F544"/>
      <c r="Q544" s="112" t="s">
        <v>567</v>
      </c>
      <c r="R544" s="73">
        <v>50</v>
      </c>
      <c r="S544" s="109" t="s">
        <v>752</v>
      </c>
    </row>
    <row r="545" spans="6:19">
      <c r="F545"/>
      <c r="G545"/>
      <c r="Q545" s="112" t="s">
        <v>567</v>
      </c>
      <c r="R545" s="73">
        <v>180</v>
      </c>
      <c r="S545" s="31" t="s">
        <v>74</v>
      </c>
    </row>
    <row r="546" spans="6:19">
      <c r="F546"/>
      <c r="Q546" s="112" t="s">
        <v>567</v>
      </c>
      <c r="R546" s="73">
        <v>1000</v>
      </c>
      <c r="S546" s="109" t="s">
        <v>374</v>
      </c>
    </row>
    <row r="547" spans="6:19">
      <c r="F547"/>
      <c r="Q547" s="112" t="s">
        <v>567</v>
      </c>
      <c r="R547" s="73">
        <v>180</v>
      </c>
      <c r="S547" s="109" t="s">
        <v>761</v>
      </c>
    </row>
    <row r="548" spans="6:19">
      <c r="F548"/>
      <c r="Q548" s="112" t="s">
        <v>567</v>
      </c>
      <c r="R548" s="73">
        <f>180+50</f>
        <v>230</v>
      </c>
      <c r="S548" s="8" t="s">
        <v>854</v>
      </c>
    </row>
    <row r="549" spans="6:19">
      <c r="F549"/>
      <c r="Q549" s="112" t="s">
        <v>567</v>
      </c>
      <c r="R549" s="73">
        <v>360</v>
      </c>
      <c r="S549" s="109" t="s">
        <v>151</v>
      </c>
    </row>
    <row r="550" spans="6:19">
      <c r="F550"/>
      <c r="Q550" s="112" t="s">
        <v>567</v>
      </c>
      <c r="R550" s="73">
        <v>1200</v>
      </c>
      <c r="S550" s="109" t="s">
        <v>610</v>
      </c>
    </row>
    <row r="551" spans="6:19">
      <c r="F551"/>
      <c r="Q551" s="112"/>
      <c r="R551" s="73">
        <v>200</v>
      </c>
      <c r="S551" s="7" t="s">
        <v>784</v>
      </c>
    </row>
    <row r="552" spans="6:19">
      <c r="F552"/>
      <c r="Q552" s="112"/>
      <c r="R552" s="73">
        <v>300</v>
      </c>
      <c r="S552" s="7" t="s">
        <v>855</v>
      </c>
    </row>
    <row r="553" spans="6:19">
      <c r="F553"/>
      <c r="Q553" s="112"/>
      <c r="R553" s="73">
        <v>205</v>
      </c>
      <c r="S553" s="7" t="s">
        <v>856</v>
      </c>
    </row>
    <row r="554" spans="6:19">
      <c r="F554"/>
      <c r="Q554" s="112"/>
      <c r="R554" s="73">
        <v>1800</v>
      </c>
      <c r="S554" s="7" t="s">
        <v>787</v>
      </c>
    </row>
    <row r="555" spans="6:19">
      <c r="F555"/>
      <c r="Q555" s="112" t="s">
        <v>567</v>
      </c>
      <c r="R555" s="73">
        <v>18</v>
      </c>
      <c r="S555" s="7" t="s">
        <v>791</v>
      </c>
    </row>
    <row r="556" spans="6:19">
      <c r="F556"/>
      <c r="Q556" s="112" t="s">
        <v>491</v>
      </c>
      <c r="R556" s="73">
        <v>1000</v>
      </c>
      <c r="S556" t="s">
        <v>831</v>
      </c>
    </row>
    <row r="557" spans="6:19">
      <c r="F557"/>
      <c r="Q557" s="112" t="s">
        <v>491</v>
      </c>
      <c r="R557" s="73">
        <v>180</v>
      </c>
      <c r="S557" s="7" t="s">
        <v>175</v>
      </c>
    </row>
    <row r="558" spans="6:19">
      <c r="F558"/>
      <c r="Q558" s="112" t="s">
        <v>491</v>
      </c>
      <c r="R558" s="73">
        <v>105</v>
      </c>
      <c r="S558" t="s">
        <v>785</v>
      </c>
    </row>
    <row r="559" spans="6:19">
      <c r="F559"/>
      <c r="Q559" s="112" t="s">
        <v>872</v>
      </c>
      <c r="R559" s="73">
        <f>60+190</f>
        <v>250</v>
      </c>
      <c r="S559" s="137" t="s">
        <v>729</v>
      </c>
    </row>
    <row r="560" spans="6:19">
      <c r="F560"/>
      <c r="Q560" s="112" t="s">
        <v>491</v>
      </c>
      <c r="R560" s="73">
        <v>200</v>
      </c>
      <c r="S560" t="s">
        <v>832</v>
      </c>
    </row>
    <row r="561" spans="6:19">
      <c r="F561"/>
      <c r="Q561" s="112"/>
      <c r="R561" s="73">
        <v>100</v>
      </c>
      <c r="S561" s="7" t="s">
        <v>771</v>
      </c>
    </row>
    <row r="562" spans="6:19">
      <c r="F562"/>
      <c r="Q562" s="112"/>
      <c r="R562" s="73">
        <v>300</v>
      </c>
      <c r="S562" s="7" t="s">
        <v>860</v>
      </c>
    </row>
    <row r="563" spans="6:19">
      <c r="F563"/>
      <c r="Q563" s="112"/>
      <c r="R563" s="73">
        <v>900</v>
      </c>
      <c r="S563" s="7" t="s">
        <v>879</v>
      </c>
    </row>
    <row r="564" spans="6:19" ht="15.5">
      <c r="F564"/>
      <c r="Q564" s="112" t="s">
        <v>833</v>
      </c>
      <c r="R564" s="73">
        <v>100</v>
      </c>
      <c r="S564" s="92" t="s">
        <v>888</v>
      </c>
    </row>
    <row r="565" spans="6:19" ht="15.5">
      <c r="F565"/>
      <c r="I565" t="s">
        <v>853</v>
      </c>
      <c r="Q565" s="112" t="s">
        <v>858</v>
      </c>
      <c r="R565" s="73">
        <v>500</v>
      </c>
      <c r="S565" s="92" t="s">
        <v>857</v>
      </c>
    </row>
    <row r="566" spans="6:19" ht="15.5">
      <c r="F566"/>
      <c r="Q566" s="112" t="s">
        <v>858</v>
      </c>
      <c r="R566" s="73">
        <v>500</v>
      </c>
      <c r="S566" s="92" t="s">
        <v>859</v>
      </c>
    </row>
    <row r="567" spans="6:19" ht="15.5">
      <c r="F567"/>
      <c r="Q567" s="112"/>
      <c r="R567" s="73">
        <v>2000</v>
      </c>
      <c r="S567" s="92" t="s">
        <v>861</v>
      </c>
    </row>
    <row r="568" spans="6:19" ht="15.5">
      <c r="F568"/>
      <c r="Q568" s="112"/>
      <c r="R568" s="73">
        <v>500</v>
      </c>
      <c r="S568" s="92" t="s">
        <v>862</v>
      </c>
    </row>
    <row r="569" spans="6:19" ht="15.5">
      <c r="F569"/>
      <c r="Q569" s="112"/>
      <c r="R569" s="73">
        <v>2000</v>
      </c>
      <c r="S569" s="92" t="s">
        <v>863</v>
      </c>
    </row>
    <row r="570" spans="6:19" ht="15.5">
      <c r="F570"/>
      <c r="Q570" s="112"/>
      <c r="R570" s="73">
        <v>1800</v>
      </c>
      <c r="S570" s="92" t="s">
        <v>866</v>
      </c>
    </row>
    <row r="571" spans="6:19">
      <c r="F571"/>
      <c r="Q571" s="112"/>
      <c r="R571" s="73">
        <v>400</v>
      </c>
      <c r="S571" s="7" t="s">
        <v>887</v>
      </c>
    </row>
    <row r="572" spans="6:19">
      <c r="F572"/>
      <c r="Q572" s="112"/>
      <c r="R572" s="73">
        <v>1000</v>
      </c>
      <c r="S572" s="7" t="s">
        <v>867</v>
      </c>
    </row>
    <row r="573" spans="6:19" ht="15.5">
      <c r="F573"/>
      <c r="Q573" s="112"/>
      <c r="R573" s="73">
        <v>250</v>
      </c>
      <c r="S573" s="92" t="s">
        <v>871</v>
      </c>
    </row>
    <row r="574" spans="6:19">
      <c r="F574"/>
      <c r="Q574" s="112"/>
      <c r="R574" s="73">
        <v>360</v>
      </c>
      <c r="S574" t="s">
        <v>870</v>
      </c>
    </row>
    <row r="575" spans="6:19">
      <c r="F575"/>
      <c r="Q575" s="112"/>
      <c r="R575" s="73">
        <v>54</v>
      </c>
      <c r="S575" s="8" t="s">
        <v>828</v>
      </c>
    </row>
    <row r="576" spans="6:19">
      <c r="F576"/>
      <c r="Q576" s="112"/>
      <c r="R576" s="73">
        <v>300</v>
      </c>
      <c r="S576" s="7" t="s">
        <v>896</v>
      </c>
    </row>
    <row r="577" spans="6:19">
      <c r="F577"/>
      <c r="Q577" s="112" t="s">
        <v>567</v>
      </c>
      <c r="R577" s="73">
        <v>100</v>
      </c>
      <c r="S577" s="8" t="s">
        <v>875</v>
      </c>
    </row>
    <row r="578" spans="6:19">
      <c r="F578"/>
      <c r="Q578" s="112" t="s">
        <v>567</v>
      </c>
      <c r="R578" s="73">
        <v>18</v>
      </c>
      <c r="S578" s="79" t="s">
        <v>877</v>
      </c>
    </row>
    <row r="579" spans="6:19">
      <c r="F579"/>
      <c r="H579"/>
      <c r="Q579" s="112"/>
      <c r="R579" s="73">
        <v>600</v>
      </c>
      <c r="S579" s="7" t="s">
        <v>879</v>
      </c>
    </row>
    <row r="580" spans="6:19">
      <c r="F580"/>
      <c r="Q580" s="112"/>
      <c r="R580" s="73">
        <v>200</v>
      </c>
      <c r="S580" s="79" t="s">
        <v>751</v>
      </c>
    </row>
    <row r="581" spans="6:19">
      <c r="F581"/>
      <c r="Q581" s="112"/>
      <c r="R581" s="73">
        <v>750</v>
      </c>
      <c r="S581" s="7" t="s">
        <v>604</v>
      </c>
    </row>
    <row r="582" spans="6:19">
      <c r="F582"/>
      <c r="Q582" s="112"/>
      <c r="R582" s="73">
        <v>100</v>
      </c>
      <c r="S582" s="79" t="s">
        <v>609</v>
      </c>
    </row>
    <row r="583" spans="6:19" ht="15.5">
      <c r="F583"/>
      <c r="Q583" s="112" t="s">
        <v>833</v>
      </c>
      <c r="R583" s="73">
        <v>100</v>
      </c>
      <c r="S583" s="92" t="s">
        <v>889</v>
      </c>
    </row>
    <row r="584" spans="6:19">
      <c r="F584"/>
      <c r="Q584" s="112" t="s">
        <v>858</v>
      </c>
      <c r="R584" s="73">
        <v>500</v>
      </c>
      <c r="S584" s="79" t="s">
        <v>288</v>
      </c>
    </row>
    <row r="585" spans="6:19">
      <c r="F585"/>
      <c r="Q585" s="112"/>
      <c r="R585" s="73">
        <v>600</v>
      </c>
      <c r="S585" s="7" t="s">
        <v>879</v>
      </c>
    </row>
    <row r="586" spans="6:19" ht="15.5">
      <c r="F586"/>
      <c r="Q586" s="112" t="s">
        <v>833</v>
      </c>
      <c r="R586" s="73">
        <v>1000</v>
      </c>
      <c r="S586" s="92" t="s">
        <v>892</v>
      </c>
    </row>
    <row r="587" spans="6:19" ht="15.5">
      <c r="F587"/>
      <c r="Q587" s="112" t="s">
        <v>858</v>
      </c>
      <c r="R587" s="73">
        <v>180</v>
      </c>
      <c r="S587" s="92" t="s">
        <v>894</v>
      </c>
    </row>
    <row r="588" spans="6:19" ht="15.5">
      <c r="F588"/>
      <c r="Q588" s="112" t="s">
        <v>858</v>
      </c>
      <c r="R588" s="73">
        <v>260</v>
      </c>
      <c r="S588" s="92" t="s">
        <v>895</v>
      </c>
    </row>
    <row r="589" spans="6:19" ht="15.5">
      <c r="F589"/>
      <c r="Q589" s="112" t="s">
        <v>858</v>
      </c>
      <c r="R589" s="73">
        <v>1000</v>
      </c>
      <c r="S589" s="92" t="s">
        <v>1505</v>
      </c>
    </row>
    <row r="590" spans="6:19" ht="15.5">
      <c r="F590"/>
      <c r="Q590" s="112" t="s">
        <v>858</v>
      </c>
      <c r="R590" s="73">
        <v>1000</v>
      </c>
      <c r="S590" s="92" t="s">
        <v>1504</v>
      </c>
    </row>
    <row r="591" spans="6:19">
      <c r="F591"/>
      <c r="Q591" s="112"/>
      <c r="R591" s="73">
        <v>800</v>
      </c>
      <c r="S591" s="7" t="s">
        <v>911</v>
      </c>
    </row>
    <row r="592" spans="6:19" ht="15.5">
      <c r="F592"/>
      <c r="Q592" s="112"/>
      <c r="R592" s="73">
        <v>180</v>
      </c>
      <c r="S592" s="92" t="s">
        <v>922</v>
      </c>
    </row>
    <row r="593" spans="6:19" ht="15.5">
      <c r="F593"/>
      <c r="Q593" s="112"/>
      <c r="R593" s="73">
        <v>1000</v>
      </c>
      <c r="S593" s="92" t="s">
        <v>967</v>
      </c>
    </row>
    <row r="594" spans="6:19" ht="15.5">
      <c r="F594"/>
      <c r="Q594" s="112"/>
      <c r="R594" s="73">
        <v>500</v>
      </c>
      <c r="S594" s="92" t="s">
        <v>1087</v>
      </c>
    </row>
    <row r="595" spans="6:19">
      <c r="F595"/>
      <c r="Q595" s="112"/>
      <c r="R595" s="73">
        <v>400</v>
      </c>
      <c r="S595" s="7" t="s">
        <v>1213</v>
      </c>
    </row>
    <row r="596" spans="6:19">
      <c r="F596"/>
      <c r="Q596" s="112"/>
      <c r="R596" s="73">
        <v>400</v>
      </c>
      <c r="S596" s="7" t="s">
        <v>1212</v>
      </c>
    </row>
    <row r="597" spans="6:19">
      <c r="F597"/>
      <c r="Q597" s="112"/>
      <c r="R597" s="73">
        <v>371.2</v>
      </c>
      <c r="S597" s="7" t="s">
        <v>1125</v>
      </c>
    </row>
    <row r="598" spans="6:19">
      <c r="F598"/>
      <c r="Q598" s="112"/>
      <c r="R598" s="73">
        <f>250+250+500+500+1000</f>
        <v>2500</v>
      </c>
      <c r="S598" s="7" t="s">
        <v>1141</v>
      </c>
    </row>
    <row r="599" spans="6:19" ht="15.5">
      <c r="F599"/>
      <c r="Q599" s="112"/>
      <c r="R599" s="73">
        <v>500</v>
      </c>
      <c r="S599" s="92" t="s">
        <v>1087</v>
      </c>
    </row>
    <row r="600" spans="6:19">
      <c r="F600"/>
      <c r="Q600" s="112"/>
      <c r="R600" s="73">
        <v>400</v>
      </c>
      <c r="S600" s="7" t="s">
        <v>1210</v>
      </c>
    </row>
    <row r="601" spans="6:19">
      <c r="F601"/>
      <c r="Q601" s="112"/>
      <c r="R601" s="73">
        <v>180</v>
      </c>
      <c r="S601" s="91" t="s">
        <v>1167</v>
      </c>
    </row>
    <row r="602" spans="6:19">
      <c r="F602"/>
      <c r="Q602" s="112"/>
      <c r="R602" s="73">
        <v>250</v>
      </c>
      <c r="S602" s="91" t="s">
        <v>1171</v>
      </c>
    </row>
    <row r="603" spans="6:19">
      <c r="F603"/>
      <c r="Q603" s="112"/>
      <c r="R603" s="73">
        <v>1000</v>
      </c>
      <c r="S603" s="79" t="s">
        <v>1189</v>
      </c>
    </row>
    <row r="604" spans="6:19">
      <c r="F604"/>
      <c r="Q604" s="112"/>
      <c r="R604" s="73">
        <v>400</v>
      </c>
      <c r="S604" s="7" t="s">
        <v>1211</v>
      </c>
    </row>
    <row r="605" spans="6:19">
      <c r="F605"/>
      <c r="Q605" s="112" t="s">
        <v>1209</v>
      </c>
      <c r="R605" s="73">
        <v>360</v>
      </c>
      <c r="S605" s="7" t="s">
        <v>1188</v>
      </c>
    </row>
    <row r="606" spans="6:19">
      <c r="F606"/>
      <c r="Q606" s="112"/>
      <c r="R606" s="73">
        <v>180</v>
      </c>
      <c r="S606" s="7" t="s">
        <v>1197</v>
      </c>
    </row>
    <row r="607" spans="6:19">
      <c r="F607"/>
      <c r="Q607" s="112" t="s">
        <v>1209</v>
      </c>
      <c r="R607" s="73">
        <v>100</v>
      </c>
      <c r="S607" t="s">
        <v>1208</v>
      </c>
    </row>
    <row r="608" spans="6:19">
      <c r="F608"/>
      <c r="Q608" s="112" t="s">
        <v>1209</v>
      </c>
      <c r="R608" s="73">
        <v>36</v>
      </c>
      <c r="S608" t="s">
        <v>1207</v>
      </c>
    </row>
    <row r="609" spans="6:19">
      <c r="F609"/>
      <c r="Q609" s="112" t="s">
        <v>1209</v>
      </c>
      <c r="R609" s="73">
        <v>660</v>
      </c>
      <c r="S609" t="s">
        <v>680</v>
      </c>
    </row>
    <row r="610" spans="6:19">
      <c r="F610"/>
      <c r="Q610" s="112" t="s">
        <v>1209</v>
      </c>
      <c r="R610" s="73">
        <v>250</v>
      </c>
      <c r="S610" t="s">
        <v>871</v>
      </c>
    </row>
    <row r="611" spans="6:19">
      <c r="F611"/>
      <c r="Q611" s="112" t="s">
        <v>1209</v>
      </c>
      <c r="R611" s="73">
        <v>360</v>
      </c>
      <c r="S611" s="79" t="s">
        <v>751</v>
      </c>
    </row>
    <row r="612" spans="6:19">
      <c r="F612"/>
      <c r="Q612" s="112" t="s">
        <v>1209</v>
      </c>
      <c r="R612" s="73">
        <v>500</v>
      </c>
      <c r="S612" s="79" t="s">
        <v>288</v>
      </c>
    </row>
    <row r="613" spans="6:19">
      <c r="F613"/>
      <c r="Q613" s="112" t="s">
        <v>1209</v>
      </c>
      <c r="R613" s="73">
        <v>360</v>
      </c>
      <c r="S613" s="79" t="s">
        <v>1177</v>
      </c>
    </row>
    <row r="614" spans="6:19">
      <c r="F614"/>
      <c r="Q614" s="112" t="s">
        <v>1209</v>
      </c>
      <c r="R614" s="73">
        <v>1500</v>
      </c>
      <c r="S614" s="79" t="s">
        <v>750</v>
      </c>
    </row>
    <row r="615" spans="6:19">
      <c r="F615"/>
      <c r="Q615" s="112" t="s">
        <v>1209</v>
      </c>
      <c r="R615" s="73">
        <v>2000</v>
      </c>
      <c r="S615" s="79" t="s">
        <v>832</v>
      </c>
    </row>
    <row r="616" spans="6:19">
      <c r="F616"/>
      <c r="Q616" s="112" t="s">
        <v>1209</v>
      </c>
      <c r="R616" s="73">
        <v>250</v>
      </c>
      <c r="S616" s="91" t="s">
        <v>1171</v>
      </c>
    </row>
    <row r="617" spans="6:19">
      <c r="F617"/>
      <c r="R617" s="73">
        <v>2000</v>
      </c>
      <c r="S617" s="79" t="s">
        <v>1240</v>
      </c>
    </row>
    <row r="618" spans="6:19">
      <c r="F618"/>
      <c r="Q618" s="112"/>
      <c r="R618" s="73">
        <v>1800</v>
      </c>
      <c r="S618" s="79" t="s">
        <v>1222</v>
      </c>
    </row>
    <row r="619" spans="6:19">
      <c r="F619"/>
      <c r="Q619" s="112"/>
      <c r="R619" s="73">
        <v>100</v>
      </c>
      <c r="S619" s="79" t="s">
        <v>1227</v>
      </c>
    </row>
    <row r="620" spans="6:19">
      <c r="F620"/>
      <c r="Q620" s="112"/>
      <c r="R620" s="73">
        <v>100</v>
      </c>
      <c r="S620" s="79" t="s">
        <v>1228</v>
      </c>
    </row>
    <row r="621" spans="6:19">
      <c r="F621"/>
      <c r="Q621" s="112"/>
      <c r="R621" s="73">
        <v>250</v>
      </c>
      <c r="S621" s="79" t="s">
        <v>1232</v>
      </c>
    </row>
    <row r="622" spans="6:19">
      <c r="F622"/>
      <c r="Q622" s="112"/>
      <c r="R622" s="73">
        <v>180</v>
      </c>
      <c r="S622" s="79" t="s">
        <v>1237</v>
      </c>
    </row>
    <row r="623" spans="6:19">
      <c r="F623"/>
      <c r="Q623" s="112"/>
      <c r="R623" s="73">
        <v>260</v>
      </c>
      <c r="S623" s="79" t="s">
        <v>1239</v>
      </c>
    </row>
    <row r="624" spans="6:19">
      <c r="Q624" s="112"/>
      <c r="R624" s="73">
        <v>100</v>
      </c>
      <c r="S624" s="79" t="s">
        <v>1242</v>
      </c>
    </row>
    <row r="625" spans="17:19">
      <c r="R625" s="73">
        <v>1500</v>
      </c>
      <c r="S625" s="79" t="s">
        <v>1291</v>
      </c>
    </row>
    <row r="626" spans="17:19">
      <c r="R626" s="73">
        <v>2600</v>
      </c>
      <c r="S626" s="79" t="s">
        <v>1298</v>
      </c>
    </row>
    <row r="627" spans="17:19">
      <c r="Q627" s="112"/>
      <c r="R627" s="73">
        <v>600</v>
      </c>
      <c r="S627" s="7" t="s">
        <v>879</v>
      </c>
    </row>
    <row r="628" spans="17:19">
      <c r="Q628" s="112"/>
      <c r="R628" s="73">
        <v>180</v>
      </c>
      <c r="S628" s="79" t="s">
        <v>1310</v>
      </c>
    </row>
    <row r="629" spans="17:19">
      <c r="Q629" s="112"/>
      <c r="R629" s="73">
        <v>1000</v>
      </c>
      <c r="S629" s="79" t="s">
        <v>1315</v>
      </c>
    </row>
    <row r="630" spans="17:19">
      <c r="Q630" s="112"/>
      <c r="R630" s="73">
        <v>100</v>
      </c>
      <c r="S630" s="79" t="s">
        <v>1330</v>
      </c>
    </row>
    <row r="631" spans="17:19">
      <c r="Q631" s="112"/>
      <c r="R631" s="73">
        <v>250</v>
      </c>
      <c r="S631" s="79" t="s">
        <v>1333</v>
      </c>
    </row>
    <row r="632" spans="17:19">
      <c r="Q632" s="112"/>
      <c r="R632" s="73">
        <v>500</v>
      </c>
      <c r="S632" s="79" t="s">
        <v>1348</v>
      </c>
    </row>
    <row r="633" spans="17:19">
      <c r="Q633" s="112"/>
      <c r="R633" s="73">
        <v>180</v>
      </c>
      <c r="S633" s="79" t="s">
        <v>1352</v>
      </c>
    </row>
    <row r="634" spans="17:19">
      <c r="Q634" s="112"/>
      <c r="R634" s="73">
        <v>100</v>
      </c>
      <c r="S634" s="79" t="s">
        <v>1367</v>
      </c>
    </row>
    <row r="635" spans="17:19">
      <c r="Q635" s="112"/>
      <c r="R635" s="73">
        <v>180</v>
      </c>
      <c r="S635" s="79" t="s">
        <v>1436</v>
      </c>
    </row>
    <row r="636" spans="17:19">
      <c r="Q636" s="112"/>
      <c r="R636" s="73">
        <v>100</v>
      </c>
      <c r="S636" s="79" t="s">
        <v>1435</v>
      </c>
    </row>
    <row r="637" spans="17:19">
      <c r="R637" s="73">
        <v>100</v>
      </c>
      <c r="S637" s="79" t="s">
        <v>1523</v>
      </c>
    </row>
    <row r="638" spans="17:19">
      <c r="Q638" s="112"/>
      <c r="R638" s="73">
        <v>200</v>
      </c>
      <c r="S638" t="s">
        <v>1446</v>
      </c>
    </row>
    <row r="639" spans="17:19">
      <c r="Q639" s="112"/>
      <c r="R639" s="73">
        <v>100</v>
      </c>
      <c r="S639" s="24" t="s">
        <v>1447</v>
      </c>
    </row>
    <row r="640" spans="17:19">
      <c r="Q640" s="112"/>
      <c r="R640" s="73">
        <v>200</v>
      </c>
      <c r="S640" s="79" t="s">
        <v>1448</v>
      </c>
    </row>
    <row r="641" spans="17:19">
      <c r="Q641" s="112"/>
      <c r="R641" s="73">
        <v>100</v>
      </c>
      <c r="S641" s="79" t="s">
        <v>1449</v>
      </c>
    </row>
    <row r="642" spans="17:19">
      <c r="Q642" s="112"/>
      <c r="R642" s="44">
        <v>100</v>
      </c>
      <c r="S642" t="s">
        <v>1453</v>
      </c>
    </row>
    <row r="643" spans="17:19">
      <c r="Q643" s="112"/>
      <c r="R643" s="73">
        <v>100</v>
      </c>
      <c r="S643" s="79" t="s">
        <v>1494</v>
      </c>
    </row>
    <row r="644" spans="17:19">
      <c r="Q644" s="112"/>
      <c r="R644" s="73">
        <v>180</v>
      </c>
      <c r="S644" s="79" t="s">
        <v>1495</v>
      </c>
    </row>
    <row r="645" spans="17:19">
      <c r="Q645" s="112" t="s">
        <v>858</v>
      </c>
      <c r="R645" s="44">
        <v>500</v>
      </c>
      <c r="S645" s="91" t="s">
        <v>74</v>
      </c>
    </row>
    <row r="646" spans="17:19">
      <c r="Q646" s="112" t="s">
        <v>858</v>
      </c>
      <c r="R646" s="44">
        <v>600</v>
      </c>
      <c r="S646" t="s">
        <v>63</v>
      </c>
    </row>
    <row r="647" spans="17:19">
      <c r="Q647" s="112" t="s">
        <v>858</v>
      </c>
      <c r="R647" s="44">
        <v>2000</v>
      </c>
      <c r="S647" t="s">
        <v>1532</v>
      </c>
    </row>
    <row r="648" spans="17:19">
      <c r="Q648" s="112" t="s">
        <v>858</v>
      </c>
      <c r="R648" s="44">
        <v>500</v>
      </c>
      <c r="S648" t="s">
        <v>1177</v>
      </c>
    </row>
    <row r="649" spans="17:19" ht="15.5">
      <c r="Q649" s="112" t="s">
        <v>858</v>
      </c>
      <c r="R649" s="73">
        <v>1250</v>
      </c>
      <c r="S649" s="92" t="s">
        <v>1504</v>
      </c>
    </row>
    <row r="650" spans="17:19">
      <c r="Q650" s="112" t="s">
        <v>858</v>
      </c>
      <c r="R650" s="44">
        <v>1000</v>
      </c>
      <c r="S650" t="s">
        <v>1505</v>
      </c>
    </row>
    <row r="651" spans="17:19">
      <c r="Q651" s="112" t="s">
        <v>858</v>
      </c>
      <c r="R651" s="44">
        <v>1800</v>
      </c>
      <c r="S651" t="s">
        <v>151</v>
      </c>
    </row>
    <row r="652" spans="17:19">
      <c r="Q652" s="112" t="s">
        <v>858</v>
      </c>
      <c r="R652" s="44">
        <v>900</v>
      </c>
      <c r="S652" s="79" t="s">
        <v>1524</v>
      </c>
    </row>
    <row r="653" spans="17:19">
      <c r="Q653" s="112" t="s">
        <v>858</v>
      </c>
      <c r="R653" s="44">
        <f>250+500</f>
        <v>750</v>
      </c>
      <c r="S653" s="79" t="s">
        <v>1529</v>
      </c>
    </row>
    <row r="654" spans="17:19">
      <c r="Q654" s="112" t="s">
        <v>858</v>
      </c>
      <c r="R654" s="44">
        <v>30</v>
      </c>
      <c r="S654" s="79" t="s">
        <v>1542</v>
      </c>
    </row>
    <row r="655" spans="17:19">
      <c r="Q655" s="112"/>
      <c r="R655" s="73">
        <v>180</v>
      </c>
      <c r="S655" s="79" t="s">
        <v>1579</v>
      </c>
    </row>
    <row r="656" spans="17:19">
      <c r="Q656" s="112"/>
      <c r="R656" s="73">
        <v>100</v>
      </c>
      <c r="S656" s="79" t="s">
        <v>1576</v>
      </c>
    </row>
    <row r="657" spans="17:19">
      <c r="Q657" s="112"/>
      <c r="R657" s="44">
        <v>100</v>
      </c>
      <c r="S657" s="79" t="s">
        <v>1577</v>
      </c>
    </row>
    <row r="658" spans="17:19">
      <c r="Q658" s="112"/>
      <c r="R658" s="44">
        <v>2500</v>
      </c>
      <c r="S658" s="79" t="s">
        <v>1581</v>
      </c>
    </row>
    <row r="659" spans="17:19">
      <c r="Q659" s="112"/>
      <c r="R659" s="44">
        <v>42</v>
      </c>
      <c r="S659" s="79" t="s">
        <v>1584</v>
      </c>
    </row>
    <row r="660" spans="17:19">
      <c r="Q660" s="112"/>
      <c r="R660" s="73">
        <v>360</v>
      </c>
      <c r="S660" s="79" t="s">
        <v>1596</v>
      </c>
    </row>
    <row r="661" spans="17:19">
      <c r="Q661" s="112"/>
      <c r="R661" s="73">
        <v>1680</v>
      </c>
      <c r="S661" s="79" t="s">
        <v>1617</v>
      </c>
    </row>
    <row r="662" spans="17:19">
      <c r="Q662" s="112"/>
      <c r="R662" s="73">
        <v>360</v>
      </c>
      <c r="S662" s="79" t="s">
        <v>1646</v>
      </c>
    </row>
    <row r="663" spans="17:19">
      <c r="Q663" s="112"/>
      <c r="R663" s="73">
        <v>500</v>
      </c>
      <c r="S663" s="91" t="s">
        <v>1625</v>
      </c>
    </row>
    <row r="664" spans="17:19">
      <c r="Q664" s="112"/>
      <c r="R664" s="73">
        <v>960</v>
      </c>
      <c r="S664" s="79" t="s">
        <v>1624</v>
      </c>
    </row>
    <row r="665" spans="17:19">
      <c r="Q665" s="112"/>
      <c r="R665" s="73">
        <v>360</v>
      </c>
      <c r="S665" s="79" t="s">
        <v>1668</v>
      </c>
    </row>
    <row r="666" spans="17:19">
      <c r="Q666" s="112"/>
      <c r="R666" s="73">
        <v>1900</v>
      </c>
      <c r="S666" s="79" t="s">
        <v>1630</v>
      </c>
    </row>
    <row r="667" spans="17:19">
      <c r="Q667" s="112"/>
      <c r="R667" s="73"/>
      <c r="S667" s="79" t="s">
        <v>1678</v>
      </c>
    </row>
    <row r="668" spans="17:19">
      <c r="Q668" s="112"/>
      <c r="R668" s="73">
        <v>932</v>
      </c>
      <c r="S668" s="79" t="s">
        <v>1681</v>
      </c>
    </row>
    <row r="669" spans="17:19">
      <c r="Q669" s="112"/>
      <c r="R669" s="44">
        <v>5</v>
      </c>
      <c r="S669" s="79" t="s">
        <v>1694</v>
      </c>
    </row>
    <row r="670" spans="17:19">
      <c r="Q670" s="112"/>
      <c r="R670" s="73">
        <v>360</v>
      </c>
      <c r="S670" s="79" t="s">
        <v>1716</v>
      </c>
    </row>
    <row r="671" spans="17:19">
      <c r="Q671" s="112"/>
      <c r="R671" s="44">
        <v>300</v>
      </c>
      <c r="S671" s="79" t="s">
        <v>1719</v>
      </c>
    </row>
    <row r="672" spans="17:19">
      <c r="Q672" s="112"/>
      <c r="R672" s="44">
        <v>800</v>
      </c>
      <c r="S672" s="79" t="s">
        <v>1724</v>
      </c>
    </row>
    <row r="673" spans="17:19">
      <c r="Q673" s="112"/>
      <c r="R673" s="73">
        <v>360</v>
      </c>
      <c r="S673" s="91" t="s">
        <v>1759</v>
      </c>
    </row>
    <row r="674" spans="17:19">
      <c r="Q674" s="112"/>
      <c r="R674" s="73">
        <v>1800</v>
      </c>
      <c r="S674" s="91" t="s">
        <v>1760</v>
      </c>
    </row>
    <row r="675" spans="17:19">
      <c r="Q675" s="112"/>
      <c r="R675" s="73">
        <v>180</v>
      </c>
      <c r="S675" s="91" t="s">
        <v>1762</v>
      </c>
    </row>
    <row r="676" spans="17:19">
      <c r="Q676" s="112"/>
      <c r="R676" s="73">
        <v>180</v>
      </c>
      <c r="S676" s="91" t="s">
        <v>1772</v>
      </c>
    </row>
    <row r="677" spans="17:19">
      <c r="Q677" s="112"/>
      <c r="R677" s="73">
        <v>180</v>
      </c>
      <c r="S677" s="91" t="s">
        <v>1797</v>
      </c>
    </row>
    <row r="678" spans="17:19">
      <c r="Q678" s="112"/>
      <c r="R678" s="73">
        <v>180</v>
      </c>
      <c r="S678" s="91" t="s">
        <v>1801</v>
      </c>
    </row>
    <row r="679" spans="17:19">
      <c r="Q679" s="112"/>
      <c r="R679" s="73">
        <v>180</v>
      </c>
      <c r="S679" s="91" t="s">
        <v>1808</v>
      </c>
    </row>
    <row r="680" spans="17:19">
      <c r="Q680" s="112"/>
      <c r="R680" s="73">
        <v>3600</v>
      </c>
      <c r="S680" s="91" t="s">
        <v>1809</v>
      </c>
    </row>
    <row r="681" spans="17:19">
      <c r="Q681" s="112"/>
      <c r="R681" s="73">
        <v>3600</v>
      </c>
      <c r="S681" s="91" t="s">
        <v>1810</v>
      </c>
    </row>
    <row r="682" spans="17:19">
      <c r="Q682" s="112"/>
      <c r="R682" s="73">
        <v>180</v>
      </c>
      <c r="S682" s="91" t="s">
        <v>1820</v>
      </c>
    </row>
    <row r="683" spans="17:19">
      <c r="Q683" s="112"/>
      <c r="R683" s="73">
        <v>180</v>
      </c>
      <c r="S683" s="91" t="s">
        <v>1841</v>
      </c>
    </row>
    <row r="684" spans="17:19">
      <c r="Q684" s="112"/>
      <c r="R684" s="73">
        <v>180</v>
      </c>
      <c r="S684" s="91" t="s">
        <v>1857</v>
      </c>
    </row>
    <row r="685" spans="17:19">
      <c r="Q685" s="112"/>
      <c r="R685" s="73">
        <v>1000</v>
      </c>
      <c r="S685" s="91" t="s">
        <v>1867</v>
      </c>
    </row>
    <row r="686" spans="17:19">
      <c r="Q686" s="112"/>
      <c r="R686" s="73">
        <v>250</v>
      </c>
      <c r="S686" s="91" t="s">
        <v>1875</v>
      </c>
    </row>
    <row r="687" spans="17:19">
      <c r="Q687" s="112"/>
      <c r="R687" s="73">
        <v>63</v>
      </c>
      <c r="S687" s="91" t="s">
        <v>1877</v>
      </c>
    </row>
    <row r="688" spans="17:19">
      <c r="Q688" s="112"/>
      <c r="R688" s="73">
        <v>62</v>
      </c>
      <c r="S688" s="91" t="s">
        <v>1876</v>
      </c>
    </row>
    <row r="689" spans="17:19">
      <c r="Q689" s="112"/>
      <c r="R689" s="73">
        <v>62.7</v>
      </c>
      <c r="S689" s="91" t="s">
        <v>1878</v>
      </c>
    </row>
    <row r="690" spans="17:19">
      <c r="Q690" s="112"/>
      <c r="R690" s="73">
        <v>180</v>
      </c>
      <c r="S690" s="91" t="s">
        <v>1896</v>
      </c>
    </row>
    <row r="691" spans="17:19">
      <c r="Q691" s="112"/>
      <c r="R691" s="73">
        <v>180</v>
      </c>
      <c r="S691" s="91" t="s">
        <v>1915</v>
      </c>
    </row>
    <row r="692" spans="17:19">
      <c r="Q692" s="112"/>
      <c r="R692" s="73">
        <v>1860</v>
      </c>
      <c r="S692" s="91" t="s">
        <v>1917</v>
      </c>
    </row>
    <row r="693" spans="17:19">
      <c r="Q693" s="112"/>
      <c r="R693" s="73">
        <v>180</v>
      </c>
      <c r="S693" s="91" t="s">
        <v>1931</v>
      </c>
    </row>
    <row r="694" spans="17:19">
      <c r="Q694" s="112"/>
      <c r="R694" s="73">
        <v>1800</v>
      </c>
      <c r="S694" s="91" t="s">
        <v>1920</v>
      </c>
    </row>
    <row r="695" spans="17:19">
      <c r="Q695" s="112"/>
      <c r="R695" s="73">
        <v>600</v>
      </c>
      <c r="S695" s="91" t="s">
        <v>1929</v>
      </c>
    </row>
    <row r="696" spans="17:19">
      <c r="Q696" s="112"/>
      <c r="R696" s="73">
        <v>180</v>
      </c>
      <c r="S696" s="91" t="s">
        <v>1930</v>
      </c>
    </row>
    <row r="697" spans="17:19">
      <c r="Q697" s="112"/>
      <c r="R697" s="73">
        <v>600</v>
      </c>
      <c r="S697" s="91" t="s">
        <v>1943</v>
      </c>
    </row>
    <row r="698" spans="17:19">
      <c r="Q698" s="112"/>
      <c r="R698" s="73">
        <f>180+20</f>
        <v>200</v>
      </c>
      <c r="S698" s="91" t="s">
        <v>1976</v>
      </c>
    </row>
    <row r="699" spans="17:19">
      <c r="Q699" s="112"/>
      <c r="R699" s="73">
        <v>1800</v>
      </c>
      <c r="S699" s="91" t="s">
        <v>1948</v>
      </c>
    </row>
    <row r="700" spans="17:19">
      <c r="Q700" s="112"/>
      <c r="R700" s="73">
        <v>600</v>
      </c>
      <c r="S700" s="91" t="s">
        <v>1954</v>
      </c>
    </row>
    <row r="701" spans="17:19">
      <c r="Q701" s="112"/>
      <c r="R701" s="73">
        <f>180+20</f>
        <v>200</v>
      </c>
      <c r="S701" s="91" t="s">
        <v>1977</v>
      </c>
    </row>
    <row r="702" spans="17:19">
      <c r="Q702" s="112"/>
      <c r="R702" s="73">
        <v>600</v>
      </c>
      <c r="S702" s="91" t="s">
        <v>1957</v>
      </c>
    </row>
    <row r="703" spans="17:19">
      <c r="Q703" s="112"/>
      <c r="R703" s="73">
        <f>180+20</f>
        <v>200</v>
      </c>
      <c r="S703" s="91" t="s">
        <v>1978</v>
      </c>
    </row>
    <row r="704" spans="17:19">
      <c r="Q704" s="112"/>
      <c r="R704" s="73">
        <v>600</v>
      </c>
      <c r="S704" s="91" t="s">
        <v>1975</v>
      </c>
    </row>
    <row r="705" spans="17:22">
      <c r="Q705" s="112"/>
      <c r="R705" s="73">
        <f>180+20</f>
        <v>200</v>
      </c>
      <c r="S705" s="91" t="s">
        <v>1979</v>
      </c>
    </row>
    <row r="706" spans="17:22">
      <c r="Q706" s="112"/>
      <c r="R706" s="73">
        <f>180+20</f>
        <v>200</v>
      </c>
      <c r="S706" s="91" t="s">
        <v>1980</v>
      </c>
    </row>
    <row r="707" spans="17:22">
      <c r="Q707" s="112"/>
      <c r="R707" s="73">
        <v>600</v>
      </c>
      <c r="S707" s="91" t="s">
        <v>1981</v>
      </c>
    </row>
    <row r="708" spans="17:22">
      <c r="Q708" s="112"/>
      <c r="R708" s="145">
        <v>1200</v>
      </c>
      <c r="S708" s="91" t="s">
        <v>1989</v>
      </c>
    </row>
    <row r="709" spans="17:22">
      <c r="Q709" s="112"/>
      <c r="R709" s="73">
        <v>700</v>
      </c>
      <c r="S709" s="91" t="s">
        <v>1990</v>
      </c>
    </row>
    <row r="710" spans="17:22">
      <c r="Q710" s="112"/>
      <c r="R710" s="73">
        <f>180+20</f>
        <v>200</v>
      </c>
      <c r="S710" s="91" t="s">
        <v>1991</v>
      </c>
    </row>
    <row r="711" spans="17:22">
      <c r="Q711" s="112"/>
      <c r="R711" s="145">
        <v>600</v>
      </c>
      <c r="S711" s="91" t="s">
        <v>1995</v>
      </c>
    </row>
    <row r="712" spans="17:22">
      <c r="Q712" s="112"/>
      <c r="R712" s="73">
        <f>180+20</f>
        <v>200</v>
      </c>
      <c r="S712" s="91" t="s">
        <v>2004</v>
      </c>
    </row>
    <row r="713" spans="17:22">
      <c r="Q713" s="112"/>
      <c r="R713" s="145">
        <v>3000</v>
      </c>
      <c r="S713" s="91" t="s">
        <v>2005</v>
      </c>
    </row>
    <row r="714" spans="17:22">
      <c r="Q714" s="112"/>
      <c r="R714" s="73">
        <v>1800</v>
      </c>
      <c r="S714" s="91" t="s">
        <v>2019</v>
      </c>
    </row>
    <row r="715" spans="17:22">
      <c r="Q715" s="112"/>
      <c r="R715" s="73">
        <v>700</v>
      </c>
      <c r="S715" s="91" t="s">
        <v>2020</v>
      </c>
    </row>
    <row r="716" spans="17:22">
      <c r="Q716" s="112"/>
      <c r="R716" s="73">
        <f>180+20</f>
        <v>200</v>
      </c>
      <c r="S716" s="91" t="s">
        <v>2022</v>
      </c>
    </row>
    <row r="717" spans="17:22">
      <c r="Q717" s="112"/>
      <c r="R717" s="73"/>
    </row>
    <row r="718" spans="17:22">
      <c r="Q718" s="24" t="s">
        <v>90</v>
      </c>
      <c r="R718" s="26">
        <f>SUM(R471:R717)</f>
        <v>155442.48000000001</v>
      </c>
    </row>
    <row r="720" spans="17:22">
      <c r="Q720" s="30" t="s">
        <v>370</v>
      </c>
      <c r="R720" s="44">
        <f>R470-SUM(R472:R717)</f>
        <v>1416.7034426229657</v>
      </c>
      <c r="T720" t="s">
        <v>300</v>
      </c>
      <c r="U720" s="49">
        <v>100</v>
      </c>
      <c r="V720" s="49">
        <v>1000</v>
      </c>
    </row>
  </sheetData>
  <mergeCells count="2">
    <mergeCell ref="A210:J210"/>
    <mergeCell ref="A211:E211"/>
  </mergeCells>
  <hyperlinks>
    <hyperlink ref="E80" r:id="rId1" xr:uid="{00000000-0004-0000-0300-000000000000}"/>
    <hyperlink ref="E28" r:id="rId2" xr:uid="{00000000-0004-0000-0300-000001000000}"/>
    <hyperlink ref="E149" r:id="rId3" xr:uid="{00000000-0004-0000-0300-000002000000}"/>
    <hyperlink ref="E153" r:id="rId4" xr:uid="{00000000-0004-0000-0300-000003000000}"/>
    <hyperlink ref="E65" r:id="rId5" xr:uid="{00000000-0004-0000-0300-000004000000}"/>
    <hyperlink ref="E21" r:id="rId6" xr:uid="{00000000-0004-0000-0300-000005000000}"/>
    <hyperlink ref="E142" r:id="rId7" xr:uid="{00000000-0004-0000-0300-000006000000}"/>
    <hyperlink ref="E72" r:id="rId8" xr:uid="{00000000-0004-0000-0300-000007000000}"/>
    <hyperlink ref="E130" r:id="rId9" xr:uid="{00000000-0004-0000-0300-000008000000}"/>
    <hyperlink ref="E155" r:id="rId10" xr:uid="{00000000-0004-0000-0300-000009000000}"/>
    <hyperlink ref="E47" r:id="rId11" xr:uid="{00000000-0004-0000-0300-00000A000000}"/>
    <hyperlink ref="E180" r:id="rId12" xr:uid="{00000000-0004-0000-0300-00000B000000}"/>
    <hyperlink ref="E182" r:id="rId13" xr:uid="{00000000-0004-0000-0300-00000C000000}"/>
    <hyperlink ref="E186" r:id="rId14" xr:uid="{00000000-0004-0000-0300-00000D000000}"/>
    <hyperlink ref="E129" r:id="rId15" xr:uid="{00000000-0004-0000-0300-00000E000000}"/>
    <hyperlink ref="E201" r:id="rId16" xr:uid="{00000000-0004-0000-0300-00000F000000}"/>
    <hyperlink ref="E140" r:id="rId17" xr:uid="{00000000-0004-0000-0300-000010000000}"/>
    <hyperlink ref="E55" r:id="rId18" display="mailto:Avrumieheimowitz@gmail.com" xr:uid="{00000000-0004-0000-0300-000011000000}"/>
    <hyperlink ref="E59" r:id="rId19" display="mailto:tzvih1111@gmail.com" xr:uid="{FBEF487F-9C5C-42AE-91CF-D036A9CAF658}"/>
    <hyperlink ref="E117" r:id="rId20" display="mailto:joshrothb@gmail.com" xr:uid="{C8A6C90D-DED0-4B92-8CF4-9DCE4A657E6C}"/>
    <hyperlink ref="E123" r:id="rId21" display="mailto:Yitzysatt@gmail.com" xr:uid="{FB9ADF1F-BDC2-4A30-94CB-D52B3DDD7BEA}"/>
    <hyperlink ref="E70" r:id="rId22" xr:uid="{99D0087A-E3DE-4906-B261-9CE6991FC066}"/>
    <hyperlink ref="E192" r:id="rId23" display="mailto:samkfeld@gmail.com" xr:uid="{DD5AB6AE-69FB-4CC5-B6F2-84DAD6963A9C}"/>
    <hyperlink ref="E40" r:id="rId24" display="mailto:4goldboys@gmail.com" xr:uid="{4564AE1A-FBFC-4ED5-9566-CC534353B8DD}"/>
    <hyperlink ref="E79" r:id="rId25" display="mailto:shlomo2414@gmail.com" xr:uid="{84ACB792-06C2-4224-A887-FFF5C5C6BD36}"/>
    <hyperlink ref="E150" r:id="rId26" display="mailto:avit1121@gmail.com" xr:uid="{E71DDC18-DD75-4436-8B83-FD2F1F10FD06}"/>
    <hyperlink ref="E85" r:id="rId27" display="mailto:Joel.lifshitz@gmail.com" xr:uid="{214E4E88-F579-4F90-B148-CE93E5F4A3E7}"/>
  </hyperlinks>
  <printOptions headings="1"/>
  <pageMargins left="0" right="0" top="0" bottom="0" header="0.3" footer="0.3"/>
  <pageSetup paperSize="9" scale="70" orientation="portrait" r:id="rId28"/>
  <legacyDrawing r:id="rId29"/>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994FB-B195-47BB-9DB5-DA114D8BFA8C}">
  <dimension ref="A1:O57"/>
  <sheetViews>
    <sheetView topLeftCell="A19" workbookViewId="0">
      <selection activeCell="F30" sqref="F30"/>
    </sheetView>
  </sheetViews>
  <sheetFormatPr defaultRowHeight="14.5"/>
  <cols>
    <col min="1" max="1" width="11.08984375" customWidth="1"/>
    <col min="6" max="6" width="14" customWidth="1"/>
    <col min="8" max="8" width="27.81640625" customWidth="1"/>
  </cols>
  <sheetData>
    <row r="1" spans="1:13" ht="15.5">
      <c r="A1" t="s">
        <v>766</v>
      </c>
      <c r="B1" t="s">
        <v>362</v>
      </c>
      <c r="C1">
        <f>print!E36</f>
        <v>52.800000000000004</v>
      </c>
      <c r="E1" t="s">
        <v>1635</v>
      </c>
      <c r="F1" s="7" t="s">
        <v>448</v>
      </c>
      <c r="G1" s="7">
        <v>1128</v>
      </c>
      <c r="H1" t="s">
        <v>840</v>
      </c>
      <c r="I1" s="92" t="s">
        <v>841</v>
      </c>
    </row>
    <row r="2" spans="1:13">
      <c r="A2" t="s">
        <v>766</v>
      </c>
      <c r="B2" t="s">
        <v>765</v>
      </c>
      <c r="C2">
        <f>print!E39</f>
        <v>77.33</v>
      </c>
      <c r="F2" t="s">
        <v>1247</v>
      </c>
      <c r="G2">
        <v>50</v>
      </c>
    </row>
    <row r="3" spans="1:13">
      <c r="A3" t="s">
        <v>774</v>
      </c>
      <c r="B3" t="s">
        <v>775</v>
      </c>
      <c r="C3">
        <v>180</v>
      </c>
      <c r="F3" t="s">
        <v>1293</v>
      </c>
      <c r="G3">
        <v>345</v>
      </c>
    </row>
    <row r="4" spans="1:13">
      <c r="A4" t="s">
        <v>774</v>
      </c>
      <c r="B4" t="s">
        <v>795</v>
      </c>
      <c r="C4">
        <v>190</v>
      </c>
      <c r="F4" t="s">
        <v>1293</v>
      </c>
      <c r="G4">
        <v>259</v>
      </c>
      <c r="H4" t="s">
        <v>1294</v>
      </c>
      <c r="L4" t="s">
        <v>1651</v>
      </c>
      <c r="M4" s="180"/>
    </row>
    <row r="5" spans="1:13" ht="15.5">
      <c r="A5" t="s">
        <v>774</v>
      </c>
      <c r="B5" t="s">
        <v>1216</v>
      </c>
      <c r="C5">
        <v>200</v>
      </c>
      <c r="F5" t="s">
        <v>1586</v>
      </c>
      <c r="G5">
        <v>595</v>
      </c>
      <c r="H5" t="s">
        <v>1587</v>
      </c>
      <c r="M5" s="92"/>
    </row>
    <row r="6" spans="1:13" ht="15.5">
      <c r="A6" t="s">
        <v>774</v>
      </c>
      <c r="B6" t="s">
        <v>1223</v>
      </c>
      <c r="C6">
        <v>120</v>
      </c>
      <c r="F6" t="s">
        <v>1591</v>
      </c>
      <c r="G6">
        <v>1231</v>
      </c>
      <c r="H6" t="s">
        <v>1590</v>
      </c>
      <c r="K6" s="113" t="s">
        <v>1592</v>
      </c>
      <c r="L6" t="s">
        <v>1652</v>
      </c>
      <c r="M6" s="92" t="s">
        <v>1771</v>
      </c>
    </row>
    <row r="7" spans="1:13">
      <c r="A7" t="s">
        <v>766</v>
      </c>
      <c r="B7" t="s">
        <v>1225</v>
      </c>
      <c r="C7">
        <v>41.15</v>
      </c>
      <c r="F7" t="s">
        <v>1593</v>
      </c>
      <c r="G7">
        <v>500</v>
      </c>
      <c r="I7" t="s">
        <v>1602</v>
      </c>
    </row>
    <row r="8" spans="1:13">
      <c r="A8" t="s">
        <v>766</v>
      </c>
      <c r="B8" t="s">
        <v>1229</v>
      </c>
      <c r="C8">
        <v>77</v>
      </c>
      <c r="E8" t="s">
        <v>1635</v>
      </c>
      <c r="F8" t="s">
        <v>1599</v>
      </c>
      <c r="G8">
        <v>258</v>
      </c>
      <c r="H8" t="s">
        <v>1598</v>
      </c>
    </row>
    <row r="9" spans="1:13">
      <c r="A9" t="s">
        <v>774</v>
      </c>
      <c r="B9" t="s">
        <v>1243</v>
      </c>
      <c r="C9">
        <v>450</v>
      </c>
      <c r="F9" t="s">
        <v>1601</v>
      </c>
      <c r="G9">
        <v>1655</v>
      </c>
      <c r="H9" t="s">
        <v>1600</v>
      </c>
    </row>
    <row r="10" spans="1:13">
      <c r="A10" t="s">
        <v>774</v>
      </c>
      <c r="B10" t="s">
        <v>1302</v>
      </c>
      <c r="C10">
        <v>323</v>
      </c>
      <c r="E10" t="s">
        <v>1635</v>
      </c>
      <c r="F10" t="s">
        <v>1603</v>
      </c>
      <c r="G10">
        <f>970.85*3.41</f>
        <v>3310.5985000000001</v>
      </c>
      <c r="H10" t="s">
        <v>1604</v>
      </c>
    </row>
    <row r="11" spans="1:13" ht="15.5">
      <c r="A11" t="s">
        <v>1316</v>
      </c>
      <c r="B11" t="s">
        <v>1317</v>
      </c>
      <c r="C11">
        <v>500</v>
      </c>
      <c r="E11" t="s">
        <v>1635</v>
      </c>
      <c r="F11" t="s">
        <v>63</v>
      </c>
      <c r="G11">
        <v>1700</v>
      </c>
      <c r="H11" t="s">
        <v>1618</v>
      </c>
      <c r="I11" s="207" t="s">
        <v>1619</v>
      </c>
    </row>
    <row r="12" spans="1:13" ht="15.5">
      <c r="A12" t="s">
        <v>774</v>
      </c>
      <c r="B12" t="s">
        <v>1225</v>
      </c>
      <c r="C12">
        <v>420</v>
      </c>
      <c r="E12" t="s">
        <v>1634</v>
      </c>
      <c r="F12" t="s">
        <v>1632</v>
      </c>
      <c r="G12">
        <v>1190</v>
      </c>
      <c r="H12" t="s">
        <v>1633</v>
      </c>
      <c r="I12" s="207" t="s">
        <v>1620</v>
      </c>
    </row>
    <row r="13" spans="1:13">
      <c r="A13" t="s">
        <v>774</v>
      </c>
      <c r="B13" t="s">
        <v>163</v>
      </c>
      <c r="C13">
        <v>250</v>
      </c>
      <c r="F13" t="s">
        <v>871</v>
      </c>
      <c r="G13">
        <v>664</v>
      </c>
      <c r="H13" t="s">
        <v>1636</v>
      </c>
    </row>
    <row r="14" spans="1:13" ht="15.5">
      <c r="A14" t="s">
        <v>1648</v>
      </c>
      <c r="C14">
        <v>350</v>
      </c>
      <c r="F14" t="s">
        <v>1688</v>
      </c>
      <c r="G14">
        <v>1600</v>
      </c>
      <c r="H14" t="s">
        <v>1686</v>
      </c>
      <c r="I14" s="92" t="s">
        <v>1637</v>
      </c>
    </row>
    <row r="15" spans="1:13" ht="15.5">
      <c r="A15" t="s">
        <v>1687</v>
      </c>
      <c r="C15">
        <v>9630</v>
      </c>
      <c r="F15" t="s">
        <v>1721</v>
      </c>
      <c r="G15">
        <v>3155</v>
      </c>
      <c r="H15" t="s">
        <v>1722</v>
      </c>
      <c r="I15" s="92" t="s">
        <v>1638</v>
      </c>
    </row>
    <row r="16" spans="1:13" ht="15.5">
      <c r="A16" t="s">
        <v>1761</v>
      </c>
      <c r="C16">
        <v>14000</v>
      </c>
      <c r="F16" t="s">
        <v>1783</v>
      </c>
      <c r="G16">
        <f>200+400+400+200+1800+100+200+600+200+200+400+400+200+200+350+200+200+200+200+200+200+200+200+200+200+200+200+200+100+100+200+200+200</f>
        <v>9250</v>
      </c>
      <c r="I16" s="92"/>
    </row>
    <row r="17" spans="1:15" ht="15.5">
      <c r="A17" t="s">
        <v>1765</v>
      </c>
      <c r="C17">
        <v>6000</v>
      </c>
      <c r="F17" t="s">
        <v>1782</v>
      </c>
      <c r="G17">
        <f>328+445+982.5+229.5+683.5+326.5+686+220+259.5+219.5+260+912+162</f>
        <v>5714</v>
      </c>
      <c r="I17" s="92" t="s">
        <v>1769</v>
      </c>
    </row>
    <row r="18" spans="1:15">
      <c r="F18" t="s">
        <v>1811</v>
      </c>
      <c r="G18" s="211">
        <v>8693.4</v>
      </c>
      <c r="I18" t="s">
        <v>1770</v>
      </c>
    </row>
    <row r="19" spans="1:15">
      <c r="A19" t="s">
        <v>90</v>
      </c>
      <c r="C19">
        <f>SUM(C1:C18)</f>
        <v>32861.279999999999</v>
      </c>
      <c r="G19">
        <f>SUM(G1:G18)</f>
        <v>41297.998500000002</v>
      </c>
    </row>
    <row r="20" spans="1:15">
      <c r="D20" s="11" t="s">
        <v>1295</v>
      </c>
      <c r="E20" s="11">
        <f>G19-C19</f>
        <v>8436.7185000000027</v>
      </c>
    </row>
    <row r="21" spans="1:15">
      <c r="A21" s="153" t="s">
        <v>1287</v>
      </c>
    </row>
    <row r="22" spans="1:15" ht="15.5">
      <c r="O22" s="191"/>
    </row>
    <row r="23" spans="1:15" ht="15.5">
      <c r="A23" t="s">
        <v>1247</v>
      </c>
      <c r="B23">
        <v>100</v>
      </c>
      <c r="D23" t="s">
        <v>1270</v>
      </c>
      <c r="E23" t="s">
        <v>1271</v>
      </c>
      <c r="F23">
        <v>1400</v>
      </c>
      <c r="O23" s="191"/>
    </row>
    <row r="24" spans="1:15" ht="15.5">
      <c r="A24" t="s">
        <v>1263</v>
      </c>
      <c r="B24">
        <v>50</v>
      </c>
      <c r="E24" t="s">
        <v>1272</v>
      </c>
      <c r="F24">
        <v>3738</v>
      </c>
      <c r="G24" s="117" t="s">
        <v>1273</v>
      </c>
      <c r="O24" s="191"/>
    </row>
    <row r="25" spans="1:15" ht="15.5">
      <c r="A25" t="s">
        <v>1261</v>
      </c>
      <c r="B25">
        <v>100</v>
      </c>
      <c r="E25" t="s">
        <v>1274</v>
      </c>
      <c r="F25">
        <v>750</v>
      </c>
      <c r="O25" s="191"/>
    </row>
    <row r="26" spans="1:15" ht="15.5">
      <c r="A26" t="s">
        <v>1256</v>
      </c>
      <c r="B26">
        <v>100</v>
      </c>
      <c r="E26" t="s">
        <v>1275</v>
      </c>
      <c r="F26">
        <v>182.5</v>
      </c>
      <c r="H26" s="152"/>
      <c r="O26" s="191"/>
    </row>
    <row r="27" spans="1:15" ht="15.5">
      <c r="A27" t="s">
        <v>1262</v>
      </c>
      <c r="B27">
        <v>170</v>
      </c>
      <c r="E27" t="s">
        <v>1277</v>
      </c>
      <c r="F27">
        <f>SUM(E37:E47)</f>
        <v>167.1</v>
      </c>
      <c r="H27" s="152"/>
      <c r="O27" s="191"/>
    </row>
    <row r="28" spans="1:15" ht="15.5">
      <c r="A28" t="s">
        <v>1268</v>
      </c>
      <c r="B28">
        <v>100</v>
      </c>
      <c r="E28" t="s">
        <v>1284</v>
      </c>
      <c r="F28">
        <v>220</v>
      </c>
      <c r="H28" s="152"/>
      <c r="O28" s="191"/>
    </row>
    <row r="29" spans="1:15" ht="15.5">
      <c r="A29" t="s">
        <v>1265</v>
      </c>
      <c r="B29">
        <v>50</v>
      </c>
      <c r="E29" t="s">
        <v>1286</v>
      </c>
      <c r="F29">
        <v>150</v>
      </c>
      <c r="O29" s="191"/>
    </row>
    <row r="30" spans="1:15" ht="15.5">
      <c r="A30" t="s">
        <v>1254</v>
      </c>
      <c r="B30">
        <v>100</v>
      </c>
      <c r="E30" t="s">
        <v>1258</v>
      </c>
      <c r="F30">
        <v>200</v>
      </c>
      <c r="O30" s="191"/>
    </row>
    <row r="31" spans="1:15">
      <c r="A31" t="s">
        <v>364</v>
      </c>
      <c r="B31">
        <v>100</v>
      </c>
      <c r="E31" t="s">
        <v>1289</v>
      </c>
      <c r="F31">
        <v>741.9</v>
      </c>
    </row>
    <row r="32" spans="1:15">
      <c r="A32" t="s">
        <v>1013</v>
      </c>
      <c r="B32">
        <v>50</v>
      </c>
      <c r="E32" t="s">
        <v>1290</v>
      </c>
      <c r="F32">
        <v>134.5</v>
      </c>
    </row>
    <row r="33" spans="1:6">
      <c r="A33" t="s">
        <v>1258</v>
      </c>
      <c r="B33">
        <f>800+200</f>
        <v>1000</v>
      </c>
      <c r="E33" t="s">
        <v>1297</v>
      </c>
      <c r="F33">
        <v>200</v>
      </c>
    </row>
    <row r="34" spans="1:6">
      <c r="A34" t="s">
        <v>1255</v>
      </c>
      <c r="B34">
        <v>100</v>
      </c>
    </row>
    <row r="35" spans="1:6">
      <c r="A35" t="s">
        <v>1266</v>
      </c>
      <c r="B35">
        <v>100</v>
      </c>
    </row>
    <row r="36" spans="1:6">
      <c r="A36" t="s">
        <v>1257</v>
      </c>
      <c r="B36">
        <f>300+200</f>
        <v>500</v>
      </c>
    </row>
    <row r="37" spans="1:6">
      <c r="A37" t="s">
        <v>1253</v>
      </c>
      <c r="B37">
        <v>100</v>
      </c>
      <c r="D37" t="s">
        <v>1248</v>
      </c>
      <c r="E37">
        <f>7*2.8</f>
        <v>19.599999999999998</v>
      </c>
    </row>
    <row r="38" spans="1:6">
      <c r="A38" t="s">
        <v>1260</v>
      </c>
      <c r="B38">
        <v>690</v>
      </c>
      <c r="D38" t="s">
        <v>1249</v>
      </c>
      <c r="E38">
        <f>5*4.7</f>
        <v>23.5</v>
      </c>
    </row>
    <row r="39" spans="1:6">
      <c r="A39" t="s">
        <v>1187</v>
      </c>
      <c r="B39">
        <v>50</v>
      </c>
      <c r="D39" t="s">
        <v>1250</v>
      </c>
      <c r="E39">
        <f>4*6</f>
        <v>24</v>
      </c>
    </row>
    <row r="40" spans="1:6">
      <c r="A40" t="s">
        <v>1259</v>
      </c>
      <c r="B40">
        <v>100</v>
      </c>
      <c r="D40" t="s">
        <v>1251</v>
      </c>
      <c r="E40">
        <f>4*3.5</f>
        <v>14</v>
      </c>
    </row>
    <row r="41" spans="1:6">
      <c r="A41" t="s">
        <v>1252</v>
      </c>
      <c r="B41">
        <v>150</v>
      </c>
      <c r="D41" t="s">
        <v>1278</v>
      </c>
      <c r="E41">
        <v>16</v>
      </c>
    </row>
    <row r="42" spans="1:6">
      <c r="A42" t="s">
        <v>849</v>
      </c>
      <c r="B42">
        <v>50</v>
      </c>
      <c r="D42" t="s">
        <v>1279</v>
      </c>
      <c r="E42">
        <v>10</v>
      </c>
    </row>
    <row r="43" spans="1:6">
      <c r="A43" t="s">
        <v>1264</v>
      </c>
      <c r="B43">
        <v>50</v>
      </c>
      <c r="D43" t="s">
        <v>1280</v>
      </c>
      <c r="E43">
        <v>30</v>
      </c>
    </row>
    <row r="44" spans="1:6">
      <c r="A44" t="s">
        <v>1267</v>
      </c>
      <c r="B44">
        <f>150+690</f>
        <v>840</v>
      </c>
      <c r="D44" t="s">
        <v>1281</v>
      </c>
      <c r="E44">
        <v>20</v>
      </c>
    </row>
    <row r="45" spans="1:6">
      <c r="A45" t="s">
        <v>1269</v>
      </c>
      <c r="B45">
        <f>1000+1000</f>
        <v>2000</v>
      </c>
      <c r="D45" t="s">
        <v>1282</v>
      </c>
      <c r="E45">
        <v>10</v>
      </c>
    </row>
    <row r="46" spans="1:6">
      <c r="A46" t="s">
        <v>1283</v>
      </c>
      <c r="B46">
        <v>100</v>
      </c>
    </row>
    <row r="47" spans="1:6">
      <c r="A47" t="s">
        <v>1253</v>
      </c>
      <c r="B47">
        <v>300</v>
      </c>
    </row>
    <row r="48" spans="1:6">
      <c r="A48" t="s">
        <v>1285</v>
      </c>
      <c r="B48">
        <v>50</v>
      </c>
    </row>
    <row r="49" spans="1:6">
      <c r="B49">
        <v>50</v>
      </c>
    </row>
    <row r="50" spans="1:6">
      <c r="A50" t="s">
        <v>1288</v>
      </c>
      <c r="B50">
        <v>100</v>
      </c>
    </row>
    <row r="51" spans="1:6">
      <c r="A51" t="s">
        <v>1080</v>
      </c>
      <c r="B51">
        <v>100</v>
      </c>
    </row>
    <row r="52" spans="1:6">
      <c r="A52" t="s">
        <v>1299</v>
      </c>
      <c r="B52">
        <v>50</v>
      </c>
    </row>
    <row r="54" spans="1:6">
      <c r="B54">
        <f>SUM(B23:B52)</f>
        <v>7400</v>
      </c>
      <c r="F54">
        <f>SUM(F23:F48)</f>
        <v>7884</v>
      </c>
    </row>
    <row r="56" spans="1:6">
      <c r="B56" t="s">
        <v>1311</v>
      </c>
      <c r="D56">
        <v>484</v>
      </c>
    </row>
    <row r="57" spans="1:6">
      <c r="C57" s="11" t="s">
        <v>1276</v>
      </c>
      <c r="D57" s="11">
        <f>B54-F54+D56</f>
        <v>0</v>
      </c>
    </row>
  </sheetData>
  <sortState xmlns:xlrd2="http://schemas.microsoft.com/office/spreadsheetml/2017/richdata2" ref="A23:C45">
    <sortCondition ref="A23"/>
  </sortState>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45"/>
  <sheetViews>
    <sheetView workbookViewId="0">
      <selection activeCell="C7" sqref="C7"/>
    </sheetView>
  </sheetViews>
  <sheetFormatPr defaultRowHeight="14.5"/>
  <cols>
    <col min="2" max="2" width="15.6328125" customWidth="1"/>
    <col min="3" max="3" width="12.81640625" customWidth="1"/>
    <col min="4" max="4" width="16.1796875" customWidth="1"/>
    <col min="9" max="9" width="12.81640625" customWidth="1"/>
    <col min="10" max="10" width="11.90625" customWidth="1"/>
    <col min="12" max="12" width="10.26953125" customWidth="1"/>
  </cols>
  <sheetData>
    <row r="1" spans="1:13">
      <c r="A1" t="s">
        <v>439</v>
      </c>
      <c r="B1" t="s">
        <v>440</v>
      </c>
      <c r="C1" s="133">
        <f>10000+2500</f>
        <v>12500</v>
      </c>
      <c r="E1" t="s">
        <v>441</v>
      </c>
    </row>
    <row r="2" spans="1:13">
      <c r="B2" t="s">
        <v>442</v>
      </c>
      <c r="C2" s="133">
        <v>700</v>
      </c>
      <c r="E2" t="s">
        <v>467</v>
      </c>
    </row>
    <row r="3" spans="1:13">
      <c r="B3" t="s">
        <v>443</v>
      </c>
      <c r="C3" s="133">
        <v>250</v>
      </c>
      <c r="D3" t="s">
        <v>444</v>
      </c>
      <c r="E3" t="s">
        <v>441</v>
      </c>
    </row>
    <row r="4" spans="1:13">
      <c r="B4" t="s">
        <v>445</v>
      </c>
      <c r="C4" s="133">
        <v>500</v>
      </c>
      <c r="D4" t="s">
        <v>444</v>
      </c>
      <c r="E4" t="s">
        <v>441</v>
      </c>
    </row>
    <row r="5" spans="1:13">
      <c r="B5" t="s">
        <v>446</v>
      </c>
      <c r="C5" s="133">
        <v>1500</v>
      </c>
      <c r="D5" t="s">
        <v>300</v>
      </c>
      <c r="E5" t="s">
        <v>441</v>
      </c>
    </row>
    <row r="6" spans="1:13">
      <c r="B6" s="7" t="s">
        <v>449</v>
      </c>
      <c r="C6" s="133">
        <v>3500</v>
      </c>
      <c r="E6" t="s">
        <v>441</v>
      </c>
    </row>
    <row r="7" spans="1:13">
      <c r="B7" t="s">
        <v>447</v>
      </c>
    </row>
    <row r="8" spans="1:13">
      <c r="B8" t="s">
        <v>448</v>
      </c>
      <c r="D8">
        <v>250</v>
      </c>
      <c r="E8" t="s">
        <v>782</v>
      </c>
      <c r="J8" s="153" t="s">
        <v>1725</v>
      </c>
      <c r="L8">
        <v>280</v>
      </c>
      <c r="M8" t="s">
        <v>1726</v>
      </c>
    </row>
    <row r="9" spans="1:13">
      <c r="B9" s="11" t="s">
        <v>90</v>
      </c>
      <c r="C9" s="134">
        <f>SUM(C1:C8)</f>
        <v>18950</v>
      </c>
      <c r="L9">
        <v>3000</v>
      </c>
      <c r="M9" t="s">
        <v>1727</v>
      </c>
    </row>
    <row r="10" spans="1:13">
      <c r="B10" s="7"/>
    </row>
    <row r="11" spans="1:13">
      <c r="K11" s="11" t="s">
        <v>90</v>
      </c>
      <c r="L11" s="11">
        <f>L8+L9</f>
        <v>3280</v>
      </c>
    </row>
    <row r="13" spans="1:13">
      <c r="D13" t="s">
        <v>450</v>
      </c>
    </row>
    <row r="15" spans="1:13">
      <c r="B15" t="s">
        <v>301</v>
      </c>
    </row>
    <row r="17" spans="1:15">
      <c r="D17" t="s">
        <v>451</v>
      </c>
    </row>
    <row r="19" spans="1:15">
      <c r="E19" t="s">
        <v>452</v>
      </c>
      <c r="F19" t="s">
        <v>453</v>
      </c>
      <c r="G19" s="95">
        <v>2500</v>
      </c>
      <c r="H19" s="14" t="s">
        <v>454</v>
      </c>
    </row>
    <row r="20" spans="1:15">
      <c r="F20" t="s">
        <v>455</v>
      </c>
      <c r="G20" s="95">
        <v>1800</v>
      </c>
      <c r="H20" s="14" t="s">
        <v>468</v>
      </c>
    </row>
    <row r="21" spans="1:15">
      <c r="A21" t="s">
        <v>478</v>
      </c>
      <c r="C21" s="132">
        <f>45000+M45+O30*3.6+O33*3.6</f>
        <v>55187.8</v>
      </c>
      <c r="F21" t="s">
        <v>456</v>
      </c>
      <c r="G21" s="95">
        <v>3500</v>
      </c>
      <c r="H21" s="14" t="s">
        <v>528</v>
      </c>
      <c r="J21" s="11" t="s">
        <v>471</v>
      </c>
      <c r="K21" s="86">
        <v>11286</v>
      </c>
    </row>
    <row r="22" spans="1:15">
      <c r="B22" s="11" t="s">
        <v>90</v>
      </c>
      <c r="C22" s="89">
        <f>C21/3.6-C9</f>
        <v>-3620.0555555555547</v>
      </c>
      <c r="G22" s="96">
        <f>G21+G20+G19</f>
        <v>7800</v>
      </c>
      <c r="H22" s="97" t="s">
        <v>527</v>
      </c>
    </row>
    <row r="23" spans="1:15">
      <c r="E23" t="s">
        <v>90</v>
      </c>
      <c r="F23" t="s">
        <v>457</v>
      </c>
      <c r="G23" t="s">
        <v>458</v>
      </c>
    </row>
    <row r="26" spans="1:15">
      <c r="E26" t="s">
        <v>90</v>
      </c>
      <c r="F26" t="s">
        <v>457</v>
      </c>
      <c r="G26" t="s">
        <v>458</v>
      </c>
    </row>
    <row r="28" spans="1:15">
      <c r="F28" t="s">
        <v>90</v>
      </c>
      <c r="G28" t="s">
        <v>459</v>
      </c>
      <c r="H28" t="s">
        <v>126</v>
      </c>
    </row>
    <row r="29" spans="1:15">
      <c r="I29" s="103" t="s">
        <v>548</v>
      </c>
    </row>
    <row r="30" spans="1:15">
      <c r="I30" t="s">
        <v>547</v>
      </c>
      <c r="J30" s="102">
        <f>45000/3.6</f>
        <v>12500</v>
      </c>
      <c r="L30" t="s">
        <v>529</v>
      </c>
      <c r="M30" s="82">
        <v>300</v>
      </c>
      <c r="N30" t="s">
        <v>546</v>
      </c>
      <c r="O30" s="102">
        <v>1600</v>
      </c>
    </row>
    <row r="31" spans="1:15">
      <c r="I31" t="s">
        <v>441</v>
      </c>
      <c r="J31" s="102">
        <f>10000+700+250+500+1500+3500-300</f>
        <v>16150</v>
      </c>
      <c r="M31" s="82">
        <v>230</v>
      </c>
    </row>
    <row r="32" spans="1:15">
      <c r="I32" t="s">
        <v>549</v>
      </c>
      <c r="J32" s="102">
        <f>O30+M45/3.6</f>
        <v>2519.4444444444443</v>
      </c>
      <c r="M32" s="82">
        <v>240</v>
      </c>
    </row>
    <row r="33" spans="9:15">
      <c r="I33" s="103" t="s">
        <v>550</v>
      </c>
      <c r="M33" s="82">
        <v>225</v>
      </c>
      <c r="N33" t="s">
        <v>793</v>
      </c>
      <c r="O33">
        <v>310.5</v>
      </c>
    </row>
    <row r="34" spans="9:15">
      <c r="I34" t="s">
        <v>551</v>
      </c>
      <c r="J34" s="102">
        <f>J31-J30-J32</f>
        <v>1130.5555555555557</v>
      </c>
      <c r="M34" s="82">
        <v>330</v>
      </c>
    </row>
    <row r="35" spans="9:15">
      <c r="M35" s="82">
        <v>300</v>
      </c>
    </row>
    <row r="36" spans="9:15">
      <c r="I36" t="s">
        <v>552</v>
      </c>
      <c r="J36" s="102">
        <f>J31-J32</f>
        <v>13630.555555555555</v>
      </c>
      <c r="M36" s="82">
        <v>150</v>
      </c>
    </row>
    <row r="37" spans="9:15">
      <c r="M37" s="82">
        <v>240</v>
      </c>
    </row>
    <row r="38" spans="9:15">
      <c r="I38" t="s">
        <v>542</v>
      </c>
      <c r="J38" s="102">
        <v>13000</v>
      </c>
      <c r="M38" s="82">
        <v>160</v>
      </c>
    </row>
    <row r="39" spans="9:15">
      <c r="I39" t="s">
        <v>553</v>
      </c>
      <c r="J39" s="102"/>
      <c r="M39" s="82">
        <v>260</v>
      </c>
    </row>
    <row r="40" spans="9:15">
      <c r="I40" t="s">
        <v>554</v>
      </c>
      <c r="J40" s="102">
        <v>286</v>
      </c>
      <c r="K40" t="s">
        <v>792</v>
      </c>
      <c r="M40" s="82">
        <v>100</v>
      </c>
    </row>
    <row r="41" spans="9:15">
      <c r="J41" s="102"/>
      <c r="M41" s="82">
        <v>450</v>
      </c>
    </row>
    <row r="42" spans="9:15">
      <c r="M42" s="82">
        <v>325</v>
      </c>
    </row>
    <row r="45" spans="9:15">
      <c r="L45" t="s">
        <v>90</v>
      </c>
      <c r="M45" s="82">
        <f>SUM(M30:M42)</f>
        <v>3310</v>
      </c>
    </row>
  </sheetData>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6AAE6-ECA6-4087-8AAE-059809530B7C}">
  <dimension ref="A1:N319"/>
  <sheetViews>
    <sheetView topLeftCell="A292" workbookViewId="0">
      <selection activeCell="G310" sqref="G310"/>
    </sheetView>
  </sheetViews>
  <sheetFormatPr defaultRowHeight="14.5"/>
  <cols>
    <col min="1" max="1" width="17.453125" style="139" customWidth="1"/>
    <col min="2" max="2" width="19.36328125" style="139" customWidth="1"/>
    <col min="3" max="3" width="36.26953125" customWidth="1"/>
    <col min="4" max="4" width="11.81640625" style="135" bestFit="1" customWidth="1"/>
    <col min="5" max="5" width="18.453125" style="135" customWidth="1"/>
    <col min="6" max="6" width="11.36328125" customWidth="1"/>
    <col min="7" max="7" width="16.36328125" customWidth="1"/>
    <col min="8" max="8" width="8.81640625" style="135"/>
    <col min="11" max="11" width="10.08984375" customWidth="1"/>
    <col min="12" max="12" width="9.7265625" customWidth="1"/>
    <col min="13" max="13" width="13.1796875" customWidth="1"/>
  </cols>
  <sheetData>
    <row r="1" spans="1:14">
      <c r="B1" s="171" t="s">
        <v>1402</v>
      </c>
      <c r="C1" s="172" t="s">
        <v>1403</v>
      </c>
      <c r="D1" s="173" t="s">
        <v>1404</v>
      </c>
      <c r="E1" s="173" t="s">
        <v>1405</v>
      </c>
    </row>
    <row r="2" spans="1:14">
      <c r="B2" s="165">
        <v>43391</v>
      </c>
      <c r="C2" s="21"/>
      <c r="D2" s="166">
        <v>4000</v>
      </c>
      <c r="E2" s="21" t="s">
        <v>1378</v>
      </c>
      <c r="H2"/>
    </row>
    <row r="3" spans="1:14">
      <c r="B3" s="165">
        <v>43423</v>
      </c>
      <c r="C3" s="21" t="s">
        <v>1379</v>
      </c>
      <c r="D3" s="166">
        <v>5000</v>
      </c>
      <c r="E3" s="21" t="s">
        <v>1380</v>
      </c>
      <c r="H3"/>
    </row>
    <row r="4" spans="1:14" ht="15.5">
      <c r="A4" s="139">
        <v>43436</v>
      </c>
      <c r="B4" s="139">
        <v>43438</v>
      </c>
      <c r="C4" s="23" t="s">
        <v>799</v>
      </c>
      <c r="D4" s="135">
        <v>1000</v>
      </c>
      <c r="F4" s="104">
        <v>37622</v>
      </c>
      <c r="H4" s="135">
        <v>7724</v>
      </c>
      <c r="I4" t="s">
        <v>827</v>
      </c>
      <c r="J4" s="109">
        <v>10000</v>
      </c>
      <c r="K4" t="s">
        <v>824</v>
      </c>
      <c r="L4" s="109">
        <v>19242</v>
      </c>
      <c r="M4" t="s">
        <v>826</v>
      </c>
      <c r="N4" s="109" t="s">
        <v>825</v>
      </c>
    </row>
    <row r="5" spans="1:14" ht="15.5">
      <c r="A5" s="139">
        <v>43436</v>
      </c>
      <c r="B5" s="139">
        <v>43438</v>
      </c>
      <c r="C5" s="23" t="s">
        <v>801</v>
      </c>
      <c r="D5" s="135">
        <v>2500</v>
      </c>
      <c r="H5" s="135">
        <v>2710</v>
      </c>
      <c r="I5" t="s">
        <v>820</v>
      </c>
      <c r="J5" s="109">
        <v>10000</v>
      </c>
    </row>
    <row r="6" spans="1:14" ht="15.5">
      <c r="A6" s="139">
        <v>43441</v>
      </c>
      <c r="B6" s="139">
        <v>43457</v>
      </c>
      <c r="C6" s="23" t="s">
        <v>802</v>
      </c>
      <c r="D6" s="135">
        <v>2500</v>
      </c>
      <c r="H6" s="135">
        <v>1626</v>
      </c>
      <c r="I6" t="s">
        <v>821</v>
      </c>
      <c r="J6" s="109">
        <v>10000</v>
      </c>
      <c r="K6" t="s">
        <v>919</v>
      </c>
    </row>
    <row r="7" spans="1:14" ht="15.5">
      <c r="B7" s="165">
        <v>43464</v>
      </c>
      <c r="C7" s="167" t="s">
        <v>1381</v>
      </c>
      <c r="D7" s="166">
        <v>10000</v>
      </c>
      <c r="E7" s="21" t="s">
        <v>1382</v>
      </c>
      <c r="J7" s="109"/>
    </row>
    <row r="8" spans="1:14" ht="15.5">
      <c r="A8" s="139">
        <v>43461</v>
      </c>
      <c r="B8" s="139">
        <v>43464</v>
      </c>
      <c r="C8" s="23" t="s">
        <v>808</v>
      </c>
      <c r="D8" s="135">
        <v>5000</v>
      </c>
      <c r="F8" s="104">
        <v>36923</v>
      </c>
      <c r="G8" s="11" t="s">
        <v>823</v>
      </c>
      <c r="H8" s="135">
        <v>6000</v>
      </c>
      <c r="I8" t="s">
        <v>827</v>
      </c>
      <c r="J8" s="109">
        <v>21923</v>
      </c>
    </row>
    <row r="9" spans="1:14" ht="15.5">
      <c r="B9" s="165">
        <v>43464</v>
      </c>
      <c r="C9" s="167" t="s">
        <v>1383</v>
      </c>
      <c r="D9" s="166">
        <v>2271</v>
      </c>
      <c r="E9" s="21" t="s">
        <v>1382</v>
      </c>
      <c r="G9" s="11"/>
      <c r="J9" s="109"/>
    </row>
    <row r="10" spans="1:14" ht="15.65" customHeight="1">
      <c r="A10" s="139">
        <v>43466</v>
      </c>
      <c r="B10" s="139">
        <v>43467</v>
      </c>
      <c r="C10" s="23" t="s">
        <v>809</v>
      </c>
      <c r="D10" s="135">
        <v>1000</v>
      </c>
      <c r="H10" s="135">
        <f>4700+3000</f>
        <v>7700</v>
      </c>
      <c r="I10" t="s">
        <v>822</v>
      </c>
      <c r="K10" t="s">
        <v>935</v>
      </c>
      <c r="M10" t="s">
        <v>934</v>
      </c>
    </row>
    <row r="11" spans="1:14" ht="15.65" customHeight="1">
      <c r="A11" s="139">
        <v>43466</v>
      </c>
      <c r="B11" s="139">
        <v>43467</v>
      </c>
      <c r="C11" s="5" t="s">
        <v>810</v>
      </c>
      <c r="D11" s="135">
        <v>1000</v>
      </c>
      <c r="H11" s="135">
        <v>3000</v>
      </c>
      <c r="I11" t="s">
        <v>401</v>
      </c>
    </row>
    <row r="12" spans="1:14" ht="15.5">
      <c r="A12" s="139">
        <v>43471</v>
      </c>
      <c r="B12" s="139">
        <v>43477</v>
      </c>
      <c r="C12" s="23" t="s">
        <v>803</v>
      </c>
      <c r="D12" s="135">
        <v>2500</v>
      </c>
      <c r="F12" s="104">
        <v>46813</v>
      </c>
      <c r="H12" s="135">
        <v>10000</v>
      </c>
      <c r="I12" t="s">
        <v>827</v>
      </c>
      <c r="J12" t="s">
        <v>848</v>
      </c>
    </row>
    <row r="13" spans="1:14" ht="15.5">
      <c r="A13" s="139">
        <v>43471</v>
      </c>
      <c r="C13" s="142" t="s">
        <v>1385</v>
      </c>
      <c r="D13" s="135">
        <v>1000</v>
      </c>
      <c r="E13" s="136" t="s">
        <v>1406</v>
      </c>
      <c r="H13" s="135">
        <v>2600</v>
      </c>
      <c r="I13" t="s">
        <v>849</v>
      </c>
    </row>
    <row r="14" spans="1:14" ht="15.5">
      <c r="A14" s="139">
        <v>43473</v>
      </c>
      <c r="C14" s="142" t="s">
        <v>796</v>
      </c>
      <c r="D14" s="135">
        <v>500</v>
      </c>
      <c r="E14" s="136" t="s">
        <v>1408</v>
      </c>
      <c r="H14" s="135">
        <v>2100</v>
      </c>
      <c r="I14" t="s">
        <v>850</v>
      </c>
    </row>
    <row r="15" spans="1:14" ht="15.5">
      <c r="A15" s="139">
        <v>43473</v>
      </c>
      <c r="B15" s="139">
        <v>43477</v>
      </c>
      <c r="C15" s="23" t="s">
        <v>797</v>
      </c>
      <c r="D15" s="135">
        <v>750</v>
      </c>
      <c r="H15" s="135">
        <v>500</v>
      </c>
      <c r="I15" t="s">
        <v>851</v>
      </c>
    </row>
    <row r="16" spans="1:14" ht="15.5">
      <c r="A16" s="139">
        <v>43473</v>
      </c>
      <c r="B16" s="139">
        <v>43477</v>
      </c>
      <c r="C16" s="23" t="s">
        <v>798</v>
      </c>
      <c r="D16" s="135">
        <v>1500</v>
      </c>
      <c r="F16" s="104">
        <v>39173</v>
      </c>
      <c r="G16" s="11" t="s">
        <v>823</v>
      </c>
      <c r="H16" s="135">
        <v>2486</v>
      </c>
      <c r="I16" t="s">
        <v>882</v>
      </c>
      <c r="J16">
        <v>9000</v>
      </c>
    </row>
    <row r="17" spans="1:13" ht="15.5">
      <c r="B17" s="165">
        <v>43477</v>
      </c>
      <c r="C17" s="167" t="s">
        <v>1384</v>
      </c>
      <c r="D17" s="166">
        <v>72</v>
      </c>
      <c r="E17" s="21" t="s">
        <v>1382</v>
      </c>
      <c r="G17" s="11"/>
    </row>
    <row r="18" spans="1:13" ht="15.5">
      <c r="A18" s="139">
        <v>43479</v>
      </c>
      <c r="C18" s="168" t="s">
        <v>1391</v>
      </c>
      <c r="E18" s="168" t="s">
        <v>1409</v>
      </c>
      <c r="H18" s="135">
        <v>4400</v>
      </c>
      <c r="I18" t="s">
        <v>906</v>
      </c>
    </row>
    <row r="19" spans="1:13" ht="15.5">
      <c r="A19" s="139">
        <v>43481</v>
      </c>
      <c r="B19" s="139">
        <v>43485</v>
      </c>
      <c r="C19" s="23" t="s">
        <v>807</v>
      </c>
      <c r="D19" s="135">
        <v>1575</v>
      </c>
      <c r="H19" s="135">
        <v>1000</v>
      </c>
      <c r="I19" t="s">
        <v>907</v>
      </c>
    </row>
    <row r="20" spans="1:13" ht="15.5">
      <c r="A20" s="139">
        <v>43481</v>
      </c>
      <c r="B20" s="139">
        <v>43485</v>
      </c>
      <c r="C20" s="23" t="s">
        <v>811</v>
      </c>
      <c r="D20" s="135">
        <v>500</v>
      </c>
      <c r="H20" s="135">
        <f>1942+425</f>
        <v>2367</v>
      </c>
      <c r="I20" t="s">
        <v>908</v>
      </c>
      <c r="K20" t="s">
        <v>931</v>
      </c>
      <c r="M20" t="s">
        <v>930</v>
      </c>
    </row>
    <row r="21" spans="1:13" ht="15.5">
      <c r="A21" s="139">
        <v>43485</v>
      </c>
      <c r="B21" s="139">
        <v>43485</v>
      </c>
      <c r="C21" s="23" t="s">
        <v>813</v>
      </c>
      <c r="D21" s="135">
        <v>125</v>
      </c>
      <c r="H21" s="135">
        <v>580</v>
      </c>
      <c r="I21" t="s">
        <v>401</v>
      </c>
    </row>
    <row r="22" spans="1:13" ht="15.5">
      <c r="A22" s="139">
        <v>43495</v>
      </c>
      <c r="B22" s="139">
        <v>43510</v>
      </c>
      <c r="C22" s="23" t="s">
        <v>805</v>
      </c>
      <c r="D22" s="135">
        <v>180</v>
      </c>
      <c r="H22" s="135">
        <f>750</f>
        <v>750</v>
      </c>
      <c r="I22" t="s">
        <v>100</v>
      </c>
    </row>
    <row r="23" spans="1:13" ht="15.5">
      <c r="A23" s="139">
        <v>43495</v>
      </c>
      <c r="B23" s="139">
        <v>43510</v>
      </c>
      <c r="C23" s="23" t="s">
        <v>806</v>
      </c>
      <c r="D23" s="135">
        <v>2000</v>
      </c>
      <c r="H23" s="135">
        <f>2360</f>
        <v>2360</v>
      </c>
      <c r="I23" t="s">
        <v>918</v>
      </c>
    </row>
    <row r="24" spans="1:13" ht="15.5">
      <c r="A24" s="139">
        <v>43495</v>
      </c>
      <c r="B24" s="139">
        <v>43510</v>
      </c>
      <c r="C24" s="23" t="s">
        <v>812</v>
      </c>
      <c r="D24" s="135">
        <v>500</v>
      </c>
      <c r="H24" s="135">
        <v>-850</v>
      </c>
      <c r="K24" t="s">
        <v>917</v>
      </c>
    </row>
    <row r="25" spans="1:13" ht="15.65" customHeight="1">
      <c r="A25" s="139">
        <v>43495</v>
      </c>
      <c r="B25" s="139">
        <v>43510</v>
      </c>
      <c r="C25" s="5" t="s">
        <v>814</v>
      </c>
      <c r="D25" s="135">
        <v>1900</v>
      </c>
      <c r="H25" s="135">
        <v>-1500</v>
      </c>
      <c r="K25" t="s">
        <v>916</v>
      </c>
    </row>
    <row r="26" spans="1:13" ht="15.65" customHeight="1">
      <c r="B26" s="165">
        <v>43525</v>
      </c>
      <c r="C26" s="174" t="s">
        <v>868</v>
      </c>
      <c r="D26" s="166">
        <v>500</v>
      </c>
      <c r="E26" s="166" t="s">
        <v>1389</v>
      </c>
    </row>
    <row r="27" spans="1:13" ht="15.65" customHeight="1">
      <c r="B27" s="165">
        <v>43525</v>
      </c>
      <c r="C27" s="174" t="s">
        <v>1386</v>
      </c>
      <c r="D27" s="166">
        <v>335</v>
      </c>
      <c r="E27" s="166" t="s">
        <v>1389</v>
      </c>
    </row>
    <row r="28" spans="1:13" ht="15.65" customHeight="1">
      <c r="B28" s="165">
        <v>43525</v>
      </c>
      <c r="C28" s="174" t="s">
        <v>1387</v>
      </c>
      <c r="D28" s="166">
        <v>225</v>
      </c>
      <c r="E28" s="166" t="s">
        <v>1389</v>
      </c>
    </row>
    <row r="29" spans="1:13" ht="15.65" customHeight="1">
      <c r="B29" s="165">
        <v>43525</v>
      </c>
      <c r="C29" s="174" t="s">
        <v>1388</v>
      </c>
      <c r="D29" s="166">
        <v>200</v>
      </c>
      <c r="E29" s="166" t="s">
        <v>1389</v>
      </c>
    </row>
    <row r="30" spans="1:13" ht="15.5">
      <c r="A30" s="139">
        <v>43500</v>
      </c>
      <c r="B30" s="139">
        <v>43563</v>
      </c>
      <c r="C30" s="23" t="s">
        <v>868</v>
      </c>
      <c r="D30" s="135">
        <v>500</v>
      </c>
      <c r="H30" s="135">
        <v>-1350</v>
      </c>
      <c r="K30" t="s">
        <v>971</v>
      </c>
    </row>
    <row r="31" spans="1:13" ht="15.65" customHeight="1">
      <c r="A31" s="139">
        <v>43500</v>
      </c>
      <c r="B31" s="139">
        <v>43563</v>
      </c>
      <c r="C31" t="s">
        <v>869</v>
      </c>
      <c r="D31" s="135">
        <v>280</v>
      </c>
      <c r="H31" s="135">
        <v>3500</v>
      </c>
      <c r="I31" t="s">
        <v>936</v>
      </c>
    </row>
    <row r="32" spans="1:13" ht="15.5">
      <c r="A32" s="139">
        <v>43501</v>
      </c>
      <c r="B32" s="139">
        <v>43510</v>
      </c>
      <c r="C32" s="23" t="s">
        <v>804</v>
      </c>
      <c r="D32" s="135">
        <v>2500</v>
      </c>
      <c r="H32" s="135">
        <v>4000</v>
      </c>
      <c r="I32" t="s">
        <v>937</v>
      </c>
      <c r="K32" t="s">
        <v>972</v>
      </c>
    </row>
    <row r="33" spans="1:12" ht="15.5">
      <c r="A33" s="139">
        <v>43503</v>
      </c>
      <c r="B33" s="139">
        <v>43510</v>
      </c>
      <c r="C33" s="23" t="s">
        <v>800</v>
      </c>
      <c r="D33" s="135">
        <v>3500</v>
      </c>
      <c r="H33" s="135">
        <v>3500</v>
      </c>
      <c r="I33" t="s">
        <v>938</v>
      </c>
    </row>
    <row r="34" spans="1:12" ht="15.5">
      <c r="A34" s="139">
        <v>43513</v>
      </c>
      <c r="B34" s="139">
        <v>43518</v>
      </c>
      <c r="C34" s="23" t="s">
        <v>817</v>
      </c>
      <c r="D34" s="135">
        <v>100</v>
      </c>
      <c r="H34" s="135">
        <v>3000</v>
      </c>
      <c r="I34" t="s">
        <v>939</v>
      </c>
    </row>
    <row r="35" spans="1:12" ht="15.5">
      <c r="A35" s="139">
        <v>43513</v>
      </c>
      <c r="B35" s="139">
        <v>43518</v>
      </c>
      <c r="C35" s="23" t="s">
        <v>818</v>
      </c>
      <c r="D35" s="135">
        <v>1000</v>
      </c>
      <c r="H35" s="135">
        <v>3000</v>
      </c>
      <c r="I35" t="s">
        <v>973</v>
      </c>
    </row>
    <row r="36" spans="1:12" ht="15.5">
      <c r="A36" s="139">
        <v>43519</v>
      </c>
      <c r="B36" s="139">
        <v>43524</v>
      </c>
      <c r="C36" s="23" t="s">
        <v>816</v>
      </c>
      <c r="D36" s="135">
        <v>250</v>
      </c>
      <c r="H36" s="135">
        <v>3000</v>
      </c>
      <c r="I36" t="s">
        <v>974</v>
      </c>
    </row>
    <row r="37" spans="1:12">
      <c r="A37" s="139">
        <v>43520</v>
      </c>
      <c r="B37" s="139">
        <v>43524</v>
      </c>
      <c r="C37" t="s">
        <v>819</v>
      </c>
      <c r="D37" s="135">
        <v>360</v>
      </c>
      <c r="H37" s="135">
        <v>3000</v>
      </c>
      <c r="I37" t="s">
        <v>975</v>
      </c>
    </row>
    <row r="38" spans="1:12" ht="15.5">
      <c r="A38" s="139">
        <v>43530</v>
      </c>
      <c r="B38" s="139">
        <v>43545</v>
      </c>
      <c r="C38" s="23" t="s">
        <v>815</v>
      </c>
      <c r="D38" s="135">
        <v>2500</v>
      </c>
      <c r="H38" s="135">
        <v>2400</v>
      </c>
      <c r="I38" t="s">
        <v>906</v>
      </c>
    </row>
    <row r="39" spans="1:12" ht="15.5">
      <c r="A39" s="139">
        <v>43541</v>
      </c>
      <c r="B39" s="139">
        <v>43563</v>
      </c>
      <c r="C39" s="23" t="s">
        <v>1147</v>
      </c>
      <c r="D39" s="135">
        <v>500</v>
      </c>
      <c r="H39" s="135">
        <v>1680</v>
      </c>
      <c r="I39" t="s">
        <v>401</v>
      </c>
    </row>
    <row r="40" spans="1:12" ht="15.5">
      <c r="A40" s="139">
        <v>43544</v>
      </c>
      <c r="B40" s="139">
        <v>43563</v>
      </c>
      <c r="C40" s="23" t="s">
        <v>830</v>
      </c>
      <c r="D40" s="135">
        <v>200</v>
      </c>
      <c r="H40" s="135">
        <v>2800</v>
      </c>
      <c r="I40" t="s">
        <v>1037</v>
      </c>
    </row>
    <row r="41" spans="1:12" ht="15.5">
      <c r="A41" s="139">
        <v>43545</v>
      </c>
      <c r="B41" s="139">
        <v>43563</v>
      </c>
      <c r="C41" s="23" t="s">
        <v>836</v>
      </c>
      <c r="D41" s="135">
        <v>1200</v>
      </c>
      <c r="H41" s="135">
        <v>2800</v>
      </c>
      <c r="I41" t="s">
        <v>1037</v>
      </c>
    </row>
    <row r="42" spans="1:12" ht="15.5">
      <c r="A42" s="139">
        <v>43547</v>
      </c>
      <c r="B42" s="139">
        <v>43563</v>
      </c>
      <c r="C42" s="23" t="s">
        <v>837</v>
      </c>
      <c r="D42" s="135">
        <v>3000</v>
      </c>
      <c r="H42" s="135">
        <v>2800</v>
      </c>
      <c r="I42" t="s">
        <v>1037</v>
      </c>
    </row>
    <row r="43" spans="1:12" ht="15.5">
      <c r="A43" s="139">
        <v>43547</v>
      </c>
      <c r="B43" s="139">
        <v>43563</v>
      </c>
      <c r="C43" s="23" t="s">
        <v>835</v>
      </c>
      <c r="D43" s="135">
        <v>650</v>
      </c>
      <c r="H43" s="135">
        <v>3000</v>
      </c>
      <c r="I43" t="s">
        <v>1038</v>
      </c>
    </row>
    <row r="44" spans="1:12" ht="15.5">
      <c r="A44" s="139">
        <v>43548</v>
      </c>
      <c r="B44" s="139">
        <v>43563</v>
      </c>
      <c r="C44" s="23" t="s">
        <v>834</v>
      </c>
      <c r="D44" s="135">
        <v>500</v>
      </c>
      <c r="H44" s="135">
        <v>2500</v>
      </c>
      <c r="I44" t="s">
        <v>1039</v>
      </c>
    </row>
    <row r="45" spans="1:12" ht="15.5">
      <c r="A45" s="139">
        <v>43552</v>
      </c>
      <c r="B45" s="139">
        <v>43563</v>
      </c>
      <c r="C45" s="23" t="s">
        <v>847</v>
      </c>
      <c r="D45" s="135">
        <v>500</v>
      </c>
      <c r="H45" s="135">
        <v>3332</v>
      </c>
      <c r="I45" t="s">
        <v>401</v>
      </c>
    </row>
    <row r="46" spans="1:12" ht="15.5">
      <c r="A46" s="139">
        <v>43559</v>
      </c>
      <c r="B46" s="139">
        <v>43563</v>
      </c>
      <c r="C46" s="23" t="s">
        <v>878</v>
      </c>
      <c r="D46" s="135">
        <v>500</v>
      </c>
      <c r="F46" s="141" t="s">
        <v>1136</v>
      </c>
      <c r="H46" s="135">
        <v>4000</v>
      </c>
      <c r="I46" t="s">
        <v>849</v>
      </c>
    </row>
    <row r="47" spans="1:12" ht="15.5">
      <c r="A47" s="139">
        <v>43561</v>
      </c>
      <c r="B47" s="139">
        <v>43586</v>
      </c>
      <c r="C47" s="23" t="s">
        <v>881</v>
      </c>
      <c r="D47" s="135">
        <v>2500</v>
      </c>
      <c r="H47" s="135">
        <v>5000</v>
      </c>
      <c r="I47" t="s">
        <v>908</v>
      </c>
    </row>
    <row r="48" spans="1:12" ht="15.5">
      <c r="A48" s="139">
        <v>43563</v>
      </c>
      <c r="B48" s="139">
        <v>43586</v>
      </c>
      <c r="C48" s="23" t="s">
        <v>883</v>
      </c>
      <c r="D48" s="135">
        <v>500</v>
      </c>
      <c r="H48" s="135">
        <v>5000</v>
      </c>
      <c r="I48" t="s">
        <v>521</v>
      </c>
      <c r="K48" t="s">
        <v>1196</v>
      </c>
      <c r="L48" s="109">
        <v>17200</v>
      </c>
    </row>
    <row r="49" spans="1:13" ht="15.5">
      <c r="A49" s="139">
        <v>43565</v>
      </c>
      <c r="B49" s="139">
        <v>43586</v>
      </c>
      <c r="C49" s="23" t="s">
        <v>891</v>
      </c>
      <c r="D49" s="135">
        <v>2800</v>
      </c>
      <c r="H49" s="135">
        <v>4800</v>
      </c>
      <c r="I49" t="s">
        <v>130</v>
      </c>
      <c r="K49" t="s">
        <v>1196</v>
      </c>
      <c r="L49" s="109">
        <v>16512</v>
      </c>
      <c r="M49" t="s">
        <v>1198</v>
      </c>
    </row>
    <row r="50" spans="1:13" ht="15.5">
      <c r="A50" s="139">
        <v>43569</v>
      </c>
      <c r="B50" s="139">
        <v>43586</v>
      </c>
      <c r="C50" s="23" t="s">
        <v>893</v>
      </c>
      <c r="D50" s="135">
        <v>150</v>
      </c>
      <c r="H50" s="135">
        <v>5000</v>
      </c>
      <c r="I50" t="s">
        <v>1184</v>
      </c>
      <c r="K50" t="s">
        <v>1196</v>
      </c>
      <c r="L50" s="109">
        <v>17200</v>
      </c>
    </row>
    <row r="51" spans="1:13" ht="15.5">
      <c r="A51" s="141" t="s">
        <v>897</v>
      </c>
      <c r="B51" s="141"/>
      <c r="C51" s="142" t="s">
        <v>898</v>
      </c>
      <c r="D51" s="135">
        <v>1000</v>
      </c>
      <c r="E51" s="136" t="s">
        <v>1406</v>
      </c>
      <c r="H51" s="135">
        <v>5000</v>
      </c>
      <c r="I51" t="s">
        <v>918</v>
      </c>
      <c r="K51" t="s">
        <v>1196</v>
      </c>
      <c r="L51" s="109">
        <v>17200</v>
      </c>
    </row>
    <row r="52" spans="1:13" ht="15.5">
      <c r="A52" s="141"/>
      <c r="B52" s="141"/>
      <c r="C52" s="142" t="s">
        <v>902</v>
      </c>
      <c r="D52" s="135">
        <v>150</v>
      </c>
      <c r="E52" s="136" t="s">
        <v>1407</v>
      </c>
      <c r="G52" s="141" t="s">
        <v>1673</v>
      </c>
      <c r="H52" s="135">
        <v>5000</v>
      </c>
      <c r="I52" t="s">
        <v>974</v>
      </c>
      <c r="K52" t="s">
        <v>1196</v>
      </c>
      <c r="L52" s="109">
        <v>17200</v>
      </c>
      <c r="M52" t="s">
        <v>826</v>
      </c>
    </row>
    <row r="53" spans="1:13" ht="15.5">
      <c r="A53" s="141" t="s">
        <v>905</v>
      </c>
      <c r="B53" s="139">
        <v>43622</v>
      </c>
      <c r="C53" s="23" t="s">
        <v>901</v>
      </c>
      <c r="D53" s="135">
        <v>2500</v>
      </c>
      <c r="G53" s="104">
        <v>40148</v>
      </c>
      <c r="H53" s="135">
        <v>25000</v>
      </c>
      <c r="I53" t="s">
        <v>908</v>
      </c>
    </row>
    <row r="54" spans="1:13" ht="15.5">
      <c r="A54" s="141" t="s">
        <v>914</v>
      </c>
      <c r="B54" s="139">
        <v>43622</v>
      </c>
      <c r="C54" s="23" t="s">
        <v>915</v>
      </c>
      <c r="D54" s="135">
        <v>360</v>
      </c>
      <c r="G54" s="141" t="s">
        <v>1463</v>
      </c>
      <c r="H54" s="135">
        <v>15000</v>
      </c>
      <c r="I54" t="s">
        <v>1468</v>
      </c>
    </row>
    <row r="55" spans="1:13" ht="15.5">
      <c r="A55" s="141" t="s">
        <v>924</v>
      </c>
      <c r="B55" s="139">
        <v>43622</v>
      </c>
      <c r="C55" s="23" t="s">
        <v>1390</v>
      </c>
      <c r="D55" s="135">
        <v>2800</v>
      </c>
      <c r="G55" s="141" t="s">
        <v>1463</v>
      </c>
      <c r="H55" s="135">
        <v>15000</v>
      </c>
      <c r="I55" t="s">
        <v>1469</v>
      </c>
    </row>
    <row r="56" spans="1:13" ht="15.5">
      <c r="A56" s="141" t="s">
        <v>932</v>
      </c>
      <c r="B56" s="139">
        <v>43622</v>
      </c>
      <c r="C56" s="23" t="s">
        <v>771</v>
      </c>
      <c r="D56" s="135">
        <v>11000</v>
      </c>
      <c r="G56" s="141" t="s">
        <v>1556</v>
      </c>
      <c r="H56" s="135">
        <v>3000</v>
      </c>
      <c r="I56" t="s">
        <v>827</v>
      </c>
      <c r="J56" s="17" t="s">
        <v>1557</v>
      </c>
      <c r="K56" t="s">
        <v>826</v>
      </c>
    </row>
    <row r="57" spans="1:13" ht="15.5">
      <c r="A57" s="141" t="s">
        <v>941</v>
      </c>
      <c r="B57" s="139">
        <v>43635</v>
      </c>
      <c r="C57" s="23" t="s">
        <v>940</v>
      </c>
      <c r="D57" s="135">
        <v>240</v>
      </c>
      <c r="G57" s="141" t="s">
        <v>1568</v>
      </c>
      <c r="H57" s="135">
        <v>3000</v>
      </c>
      <c r="I57" t="s">
        <v>827</v>
      </c>
      <c r="J57" s="109">
        <v>10695</v>
      </c>
      <c r="K57" t="s">
        <v>1675</v>
      </c>
    </row>
    <row r="58" spans="1:13" ht="15.5">
      <c r="A58" s="141" t="s">
        <v>941</v>
      </c>
      <c r="B58" s="139">
        <v>43635</v>
      </c>
      <c r="C58" s="23" t="s">
        <v>1146</v>
      </c>
      <c r="D58" s="135">
        <v>500</v>
      </c>
      <c r="F58">
        <v>3.46</v>
      </c>
      <c r="G58" s="141" t="s">
        <v>1674</v>
      </c>
      <c r="H58" s="135">
        <v>25000</v>
      </c>
      <c r="I58" t="s">
        <v>827</v>
      </c>
      <c r="J58" s="109">
        <v>86500</v>
      </c>
      <c r="K58" t="s">
        <v>1675</v>
      </c>
    </row>
    <row r="59" spans="1:13" ht="15.5">
      <c r="A59" s="141" t="s">
        <v>945</v>
      </c>
      <c r="B59" s="139">
        <v>43635</v>
      </c>
      <c r="C59" s="23" t="s">
        <v>946</v>
      </c>
      <c r="D59" s="135">
        <v>150</v>
      </c>
      <c r="G59" s="141" t="s">
        <v>1649</v>
      </c>
      <c r="H59" s="135">
        <f>2800+2800+3200</f>
        <v>8800</v>
      </c>
      <c r="I59" t="s">
        <v>1650</v>
      </c>
    </row>
    <row r="60" spans="1:13" ht="15.5">
      <c r="A60" s="141" t="s">
        <v>945</v>
      </c>
      <c r="B60" s="139">
        <v>43635</v>
      </c>
      <c r="C60" s="23" t="s">
        <v>947</v>
      </c>
      <c r="D60" s="135">
        <v>2500</v>
      </c>
      <c r="G60" s="141" t="s">
        <v>1656</v>
      </c>
      <c r="H60" s="135">
        <f>2430+2830</f>
        <v>5260</v>
      </c>
      <c r="I60" t="s">
        <v>1655</v>
      </c>
    </row>
    <row r="61" spans="1:13" ht="15.5">
      <c r="A61" s="141" t="s">
        <v>951</v>
      </c>
      <c r="B61" s="139">
        <v>43635</v>
      </c>
      <c r="C61" s="23" t="s">
        <v>952</v>
      </c>
      <c r="D61" s="135">
        <v>100</v>
      </c>
      <c r="G61" s="141" t="s">
        <v>1664</v>
      </c>
      <c r="H61" s="135">
        <v>3000</v>
      </c>
      <c r="I61" t="s">
        <v>850</v>
      </c>
    </row>
    <row r="62" spans="1:13" ht="15.5">
      <c r="A62" s="141" t="s">
        <v>951</v>
      </c>
      <c r="B62" s="139">
        <v>43635</v>
      </c>
      <c r="C62" s="23" t="s">
        <v>953</v>
      </c>
      <c r="D62" s="135">
        <v>300</v>
      </c>
      <c r="G62" s="141" t="s">
        <v>1665</v>
      </c>
      <c r="H62" s="135">
        <v>9000</v>
      </c>
      <c r="I62" t="s">
        <v>1666</v>
      </c>
    </row>
    <row r="63" spans="1:13" ht="15.5">
      <c r="A63" s="141" t="s">
        <v>951</v>
      </c>
      <c r="B63" s="139">
        <v>43635</v>
      </c>
      <c r="C63" s="168" t="s">
        <v>1429</v>
      </c>
      <c r="E63" s="168" t="s">
        <v>1409</v>
      </c>
      <c r="G63" s="141" t="s">
        <v>1684</v>
      </c>
      <c r="H63" s="135">
        <v>2200</v>
      </c>
      <c r="I63" t="s">
        <v>1691</v>
      </c>
      <c r="K63">
        <v>5000</v>
      </c>
      <c r="L63">
        <v>17200</v>
      </c>
      <c r="M63" s="190">
        <v>44111</v>
      </c>
    </row>
    <row r="64" spans="1:13" ht="15.5">
      <c r="A64" s="141" t="s">
        <v>951</v>
      </c>
      <c r="B64" s="139">
        <v>43635</v>
      </c>
      <c r="C64" s="23" t="s">
        <v>954</v>
      </c>
      <c r="D64" s="135">
        <v>100</v>
      </c>
      <c r="G64" s="141" t="s">
        <v>1692</v>
      </c>
      <c r="H64" s="135">
        <v>2000</v>
      </c>
      <c r="I64" s="92" t="s">
        <v>1689</v>
      </c>
      <c r="J64" t="s">
        <v>1690</v>
      </c>
    </row>
    <row r="65" spans="1:10" ht="15.5">
      <c r="A65" s="141" t="s">
        <v>951</v>
      </c>
      <c r="B65" s="139">
        <v>43635</v>
      </c>
      <c r="C65" s="23" t="s">
        <v>955</v>
      </c>
      <c r="D65" s="135">
        <v>250</v>
      </c>
      <c r="G65" s="141" t="s">
        <v>1712</v>
      </c>
      <c r="H65" s="135">
        <v>2000</v>
      </c>
      <c r="I65" t="s">
        <v>1713</v>
      </c>
    </row>
    <row r="66" spans="1:10" ht="15.5">
      <c r="A66" s="141" t="s">
        <v>951</v>
      </c>
      <c r="B66" s="139">
        <v>43635</v>
      </c>
      <c r="C66" s="23" t="s">
        <v>956</v>
      </c>
      <c r="D66" s="135">
        <v>100</v>
      </c>
      <c r="G66" s="141" t="s">
        <v>1792</v>
      </c>
      <c r="H66" s="135">
        <v>3600</v>
      </c>
      <c r="I66" s="92" t="s">
        <v>1689</v>
      </c>
      <c r="J66" t="s">
        <v>1690</v>
      </c>
    </row>
    <row r="67" spans="1:10" ht="15.5">
      <c r="A67" s="141" t="s">
        <v>951</v>
      </c>
      <c r="B67" s="139">
        <v>43635</v>
      </c>
      <c r="C67" s="23" t="s">
        <v>957</v>
      </c>
      <c r="D67" s="135">
        <v>180</v>
      </c>
      <c r="G67" s="141">
        <v>44537</v>
      </c>
      <c r="H67" s="135">
        <v>1200</v>
      </c>
      <c r="I67" s="92" t="s">
        <v>1689</v>
      </c>
      <c r="J67" t="s">
        <v>1690</v>
      </c>
    </row>
    <row r="68" spans="1:10" ht="15.5">
      <c r="A68" s="141" t="s">
        <v>951</v>
      </c>
      <c r="B68" s="139">
        <v>43635</v>
      </c>
      <c r="C68" s="23" t="s">
        <v>958</v>
      </c>
      <c r="D68" s="135">
        <v>36</v>
      </c>
    </row>
    <row r="69" spans="1:10" ht="15.5">
      <c r="A69" s="141"/>
      <c r="B69" s="141"/>
      <c r="C69" s="23" t="s">
        <v>961</v>
      </c>
      <c r="D69" s="135">
        <v>2266</v>
      </c>
      <c r="E69" s="136" t="s">
        <v>1410</v>
      </c>
      <c r="F69" s="143">
        <v>43633</v>
      </c>
    </row>
    <row r="70" spans="1:10" ht="15.5">
      <c r="A70" s="141" t="s">
        <v>964</v>
      </c>
      <c r="B70" s="139">
        <v>43661</v>
      </c>
      <c r="C70" s="23" t="s">
        <v>960</v>
      </c>
      <c r="D70" s="135">
        <v>1000</v>
      </c>
    </row>
    <row r="71" spans="1:10" ht="15.5">
      <c r="A71" s="141" t="s">
        <v>965</v>
      </c>
      <c r="B71" s="139">
        <v>43692</v>
      </c>
      <c r="C71" s="23" t="s">
        <v>1398</v>
      </c>
      <c r="D71" s="135">
        <v>360</v>
      </c>
      <c r="J71">
        <v>1</v>
      </c>
    </row>
    <row r="72" spans="1:10" ht="15.5">
      <c r="A72" s="141" t="s">
        <v>980</v>
      </c>
      <c r="B72" s="139">
        <v>43661</v>
      </c>
      <c r="C72" s="23" t="s">
        <v>981</v>
      </c>
      <c r="D72" s="135">
        <v>5000</v>
      </c>
      <c r="F72" t="s">
        <v>1052</v>
      </c>
    </row>
    <row r="73" spans="1:10" ht="15.5">
      <c r="A73" s="141" t="s">
        <v>978</v>
      </c>
      <c r="B73" s="139">
        <v>43692</v>
      </c>
      <c r="C73" s="23" t="s">
        <v>977</v>
      </c>
      <c r="D73" s="135">
        <v>500</v>
      </c>
      <c r="F73" t="s">
        <v>1165</v>
      </c>
      <c r="J73">
        <v>2</v>
      </c>
    </row>
    <row r="74" spans="1:10" ht="15.5">
      <c r="A74" s="141" t="s">
        <v>978</v>
      </c>
      <c r="B74" s="139">
        <v>43692</v>
      </c>
      <c r="C74" s="23" t="s">
        <v>977</v>
      </c>
      <c r="D74" s="135">
        <v>280</v>
      </c>
      <c r="F74" t="s">
        <v>1165</v>
      </c>
      <c r="J74">
        <v>3</v>
      </c>
    </row>
    <row r="75" spans="1:10" ht="15.5">
      <c r="A75" s="141" t="s">
        <v>978</v>
      </c>
      <c r="B75" s="139">
        <v>43692</v>
      </c>
      <c r="C75" s="23" t="s">
        <v>977</v>
      </c>
      <c r="D75" s="135">
        <v>220</v>
      </c>
      <c r="F75" t="s">
        <v>1165</v>
      </c>
      <c r="J75">
        <v>4</v>
      </c>
    </row>
    <row r="76" spans="1:10" ht="15.5">
      <c r="A76" s="141" t="s">
        <v>979</v>
      </c>
      <c r="B76" s="139">
        <v>43692</v>
      </c>
      <c r="C76" s="23" t="s">
        <v>1002</v>
      </c>
      <c r="D76" s="135">
        <v>1000</v>
      </c>
      <c r="F76" t="s">
        <v>1165</v>
      </c>
      <c r="J76">
        <v>5</v>
      </c>
    </row>
    <row r="77" spans="1:10">
      <c r="A77" s="141" t="s">
        <v>995</v>
      </c>
      <c r="B77" s="139">
        <v>43692</v>
      </c>
      <c r="C77" s="169" t="s">
        <v>1411</v>
      </c>
      <c r="D77" s="135">
        <v>600</v>
      </c>
      <c r="E77" s="136" t="s">
        <v>1412</v>
      </c>
      <c r="F77" s="7" t="s">
        <v>994</v>
      </c>
      <c r="J77">
        <v>17</v>
      </c>
    </row>
    <row r="78" spans="1:10" ht="15.5">
      <c r="A78" s="141" t="s">
        <v>991</v>
      </c>
      <c r="B78" s="139">
        <v>43661</v>
      </c>
      <c r="C78" s="23" t="s">
        <v>1292</v>
      </c>
      <c r="D78" s="135">
        <v>2500</v>
      </c>
    </row>
    <row r="79" spans="1:10" ht="15.5">
      <c r="A79" s="141" t="s">
        <v>984</v>
      </c>
      <c r="B79" s="139">
        <v>43661</v>
      </c>
      <c r="C79" s="144" t="s">
        <v>983</v>
      </c>
      <c r="D79" s="135">
        <v>180</v>
      </c>
    </row>
    <row r="80" spans="1:10" ht="15.5">
      <c r="A80" s="141" t="s">
        <v>984</v>
      </c>
      <c r="B80" s="139">
        <v>43661</v>
      </c>
      <c r="C80" s="92" t="s">
        <v>992</v>
      </c>
      <c r="D80" s="145">
        <v>5000</v>
      </c>
      <c r="E80" s="145"/>
      <c r="F80" t="s">
        <v>993</v>
      </c>
    </row>
    <row r="81" spans="1:10">
      <c r="A81" s="141" t="s">
        <v>996</v>
      </c>
      <c r="B81" s="139">
        <v>43661</v>
      </c>
      <c r="C81" t="s">
        <v>997</v>
      </c>
      <c r="D81" s="135">
        <v>1000</v>
      </c>
    </row>
    <row r="82" spans="1:10" ht="15.5">
      <c r="A82" s="141" t="s">
        <v>998</v>
      </c>
      <c r="B82" s="139">
        <v>43692</v>
      </c>
      <c r="C82" s="146" t="s">
        <v>1004</v>
      </c>
      <c r="D82" s="135">
        <v>1800</v>
      </c>
      <c r="J82">
        <v>18</v>
      </c>
    </row>
    <row r="83" spans="1:10" ht="15.5">
      <c r="A83" s="141" t="s">
        <v>998</v>
      </c>
      <c r="B83" s="139">
        <v>43661</v>
      </c>
      <c r="C83" s="146" t="s">
        <v>1001</v>
      </c>
      <c r="D83" s="135">
        <v>50</v>
      </c>
    </row>
    <row r="84" spans="1:10" ht="15.5">
      <c r="A84" s="141" t="s">
        <v>998</v>
      </c>
      <c r="B84" s="139">
        <v>43661</v>
      </c>
      <c r="C84" s="146" t="s">
        <v>1000</v>
      </c>
      <c r="D84" s="135">
        <v>500</v>
      </c>
      <c r="F84" t="s">
        <v>1053</v>
      </c>
    </row>
    <row r="85" spans="1:10" ht="15.5">
      <c r="A85" s="141" t="s">
        <v>998</v>
      </c>
      <c r="B85" s="139">
        <v>43661</v>
      </c>
      <c r="C85" s="23" t="s">
        <v>999</v>
      </c>
      <c r="D85" s="135">
        <v>100</v>
      </c>
    </row>
    <row r="86" spans="1:10" ht="15.5">
      <c r="A86" s="141" t="s">
        <v>1009</v>
      </c>
      <c r="B86" s="139">
        <v>43661</v>
      </c>
      <c r="C86" s="23" t="s">
        <v>1010</v>
      </c>
      <c r="D86" s="135">
        <v>1800</v>
      </c>
      <c r="F86" t="s">
        <v>1052</v>
      </c>
    </row>
    <row r="87" spans="1:10" ht="15.5">
      <c r="A87" s="141" t="s">
        <v>1009</v>
      </c>
      <c r="B87" s="139">
        <v>43661</v>
      </c>
      <c r="C87" s="23" t="s">
        <v>1011</v>
      </c>
      <c r="D87" s="135">
        <v>360</v>
      </c>
    </row>
    <row r="88" spans="1:10" ht="15.5">
      <c r="A88" s="141" t="s">
        <v>1009</v>
      </c>
      <c r="B88" s="139">
        <v>43661</v>
      </c>
      <c r="C88" s="147" t="s">
        <v>1012</v>
      </c>
      <c r="D88" s="135">
        <v>500</v>
      </c>
    </row>
    <row r="89" spans="1:10" ht="15.5">
      <c r="A89" s="141" t="s">
        <v>1016</v>
      </c>
      <c r="B89" s="139">
        <v>43661</v>
      </c>
      <c r="C89" s="23" t="s">
        <v>1017</v>
      </c>
      <c r="D89" s="135">
        <v>8400</v>
      </c>
      <c r="F89" t="s">
        <v>1053</v>
      </c>
    </row>
    <row r="90" spans="1:10" ht="15.5">
      <c r="A90" s="141" t="s">
        <v>1018</v>
      </c>
      <c r="B90" s="139">
        <v>43678</v>
      </c>
      <c r="C90" s="23" t="s">
        <v>1392</v>
      </c>
      <c r="D90" s="135">
        <v>36</v>
      </c>
    </row>
    <row r="91" spans="1:10" ht="15.5">
      <c r="A91" s="141" t="s">
        <v>1018</v>
      </c>
      <c r="B91" s="139">
        <v>43678</v>
      </c>
      <c r="C91" s="23" t="s">
        <v>1393</v>
      </c>
      <c r="D91" s="135">
        <v>1000</v>
      </c>
    </row>
    <row r="92" spans="1:10" ht="15.5">
      <c r="A92" s="141" t="s">
        <v>1018</v>
      </c>
      <c r="B92" s="139">
        <v>43678</v>
      </c>
      <c r="C92" s="23" t="s">
        <v>1395</v>
      </c>
      <c r="D92" s="135">
        <v>50</v>
      </c>
    </row>
    <row r="93" spans="1:10" ht="15.5">
      <c r="A93" s="141" t="s">
        <v>1018</v>
      </c>
      <c r="B93" s="139">
        <v>43678</v>
      </c>
      <c r="C93" s="23" t="s">
        <v>1393</v>
      </c>
      <c r="D93" s="135">
        <v>200</v>
      </c>
    </row>
    <row r="94" spans="1:10" ht="15.5">
      <c r="A94" s="141" t="s">
        <v>1018</v>
      </c>
      <c r="B94" s="139">
        <v>43678</v>
      </c>
      <c r="C94" s="23" t="s">
        <v>1394</v>
      </c>
      <c r="D94" s="135">
        <v>100</v>
      </c>
    </row>
    <row r="95" spans="1:10" ht="15.5">
      <c r="A95" s="141" t="s">
        <v>1018</v>
      </c>
      <c r="B95" s="139">
        <v>43635</v>
      </c>
      <c r="C95" s="23" t="s">
        <v>1396</v>
      </c>
      <c r="D95" s="135">
        <v>200</v>
      </c>
      <c r="E95" s="136" t="s">
        <v>1421</v>
      </c>
    </row>
    <row r="96" spans="1:10" ht="15.5">
      <c r="A96" s="141" t="s">
        <v>1018</v>
      </c>
      <c r="B96" s="139">
        <v>43678</v>
      </c>
      <c r="C96" s="23" t="s">
        <v>1019</v>
      </c>
      <c r="D96" s="135">
        <v>1000</v>
      </c>
    </row>
    <row r="97" spans="1:10" ht="15.5">
      <c r="A97" s="141" t="s">
        <v>1020</v>
      </c>
      <c r="B97" s="139">
        <v>43678</v>
      </c>
      <c r="C97" s="23" t="s">
        <v>1021</v>
      </c>
      <c r="D97" s="135">
        <v>500</v>
      </c>
    </row>
    <row r="98" spans="1:10" ht="15.5">
      <c r="A98" s="141" t="s">
        <v>1020</v>
      </c>
      <c r="B98" s="139">
        <v>43678</v>
      </c>
      <c r="C98" s="23" t="s">
        <v>1022</v>
      </c>
      <c r="D98" s="135">
        <v>180</v>
      </c>
    </row>
    <row r="99" spans="1:10" ht="15.5">
      <c r="A99" s="141" t="s">
        <v>1029</v>
      </c>
      <c r="B99" s="139">
        <v>43678</v>
      </c>
      <c r="C99" s="148" t="s">
        <v>1025</v>
      </c>
      <c r="D99" s="149">
        <v>200</v>
      </c>
      <c r="E99" s="149"/>
    </row>
    <row r="100" spans="1:10" ht="15.5">
      <c r="A100" s="141" t="s">
        <v>1029</v>
      </c>
      <c r="B100" s="139">
        <v>43678</v>
      </c>
      <c r="C100" s="148" t="s">
        <v>1026</v>
      </c>
      <c r="D100" s="149">
        <v>1800</v>
      </c>
      <c r="E100" s="149"/>
    </row>
    <row r="101" spans="1:10" ht="15.5">
      <c r="A101" s="141" t="s">
        <v>1029</v>
      </c>
      <c r="B101" s="139">
        <v>43678</v>
      </c>
      <c r="C101" s="148" t="s">
        <v>1027</v>
      </c>
      <c r="D101" s="149">
        <v>100</v>
      </c>
      <c r="E101" s="149"/>
    </row>
    <row r="102" spans="1:10" ht="15.5">
      <c r="A102" s="141" t="s">
        <v>1029</v>
      </c>
      <c r="B102" s="139">
        <v>43678</v>
      </c>
      <c r="C102" s="148" t="s">
        <v>1028</v>
      </c>
      <c r="D102" s="149">
        <v>120</v>
      </c>
      <c r="E102" s="149"/>
    </row>
    <row r="103" spans="1:10" ht="15.5">
      <c r="A103" s="141" t="s">
        <v>1029</v>
      </c>
      <c r="B103" s="139">
        <v>43678</v>
      </c>
      <c r="C103" s="147" t="s">
        <v>1030</v>
      </c>
      <c r="D103" s="150">
        <v>100</v>
      </c>
      <c r="E103" s="150"/>
    </row>
    <row r="104" spans="1:10" ht="15.5">
      <c r="A104" s="141" t="s">
        <v>1029</v>
      </c>
      <c r="B104" s="139">
        <v>43678</v>
      </c>
      <c r="C104" s="147" t="s">
        <v>1031</v>
      </c>
      <c r="D104" s="150">
        <v>100</v>
      </c>
      <c r="E104" s="150"/>
    </row>
    <row r="105" spans="1:10" ht="15.5">
      <c r="A105" s="141" t="s">
        <v>1029</v>
      </c>
      <c r="B105" s="139">
        <v>43678</v>
      </c>
      <c r="C105" s="147" t="s">
        <v>1032</v>
      </c>
      <c r="D105" s="150">
        <v>250</v>
      </c>
      <c r="E105" s="150"/>
    </row>
    <row r="106" spans="1:10" ht="15.5">
      <c r="A106" s="141" t="s">
        <v>1029</v>
      </c>
      <c r="B106" s="139">
        <v>43678</v>
      </c>
      <c r="C106" s="147" t="s">
        <v>1033</v>
      </c>
      <c r="D106" s="150">
        <v>180</v>
      </c>
      <c r="E106" s="150"/>
    </row>
    <row r="107" spans="1:10" ht="15.5">
      <c r="A107" s="141" t="s">
        <v>1029</v>
      </c>
      <c r="B107" s="139">
        <v>43678</v>
      </c>
      <c r="C107" s="147" t="s">
        <v>1034</v>
      </c>
      <c r="D107" s="150">
        <v>1800</v>
      </c>
      <c r="E107" s="150"/>
    </row>
    <row r="108" spans="1:10" ht="15.5">
      <c r="A108" s="141" t="s">
        <v>1029</v>
      </c>
      <c r="B108" s="139">
        <v>43678</v>
      </c>
      <c r="C108" s="147" t="s">
        <v>1035</v>
      </c>
      <c r="D108" s="150">
        <v>200</v>
      </c>
      <c r="E108" s="150"/>
    </row>
    <row r="109" spans="1:10" ht="15.5">
      <c r="A109" s="141" t="s">
        <v>1029</v>
      </c>
      <c r="B109" s="139">
        <v>43678</v>
      </c>
      <c r="C109" s="117" t="s">
        <v>1047</v>
      </c>
      <c r="D109" s="150">
        <v>500</v>
      </c>
      <c r="E109" s="150"/>
    </row>
    <row r="110" spans="1:10" ht="15.5">
      <c r="A110" s="141" t="s">
        <v>1029</v>
      </c>
      <c r="B110" s="139">
        <v>43678</v>
      </c>
      <c r="C110" s="117" t="s">
        <v>1048</v>
      </c>
      <c r="D110" s="150">
        <v>15</v>
      </c>
      <c r="E110" s="150"/>
    </row>
    <row r="111" spans="1:10" ht="15.5">
      <c r="A111" s="141" t="s">
        <v>1029</v>
      </c>
      <c r="B111" s="139">
        <v>43692</v>
      </c>
      <c r="C111" s="117" t="s">
        <v>1050</v>
      </c>
      <c r="D111" s="150">
        <v>5000</v>
      </c>
      <c r="E111" s="150"/>
      <c r="J111">
        <v>19</v>
      </c>
    </row>
    <row r="112" spans="1:10" ht="15.5">
      <c r="A112" s="141" t="s">
        <v>1041</v>
      </c>
      <c r="B112" s="139">
        <v>43678</v>
      </c>
      <c r="C112" s="23" t="s">
        <v>1040</v>
      </c>
      <c r="D112" s="150">
        <v>100</v>
      </c>
      <c r="E112" s="150"/>
    </row>
    <row r="113" spans="1:10" ht="15.5">
      <c r="A113" s="141" t="s">
        <v>1041</v>
      </c>
      <c r="B113" s="139">
        <v>43678</v>
      </c>
      <c r="C113" s="23" t="s">
        <v>868</v>
      </c>
      <c r="D113" s="150">
        <v>500</v>
      </c>
      <c r="E113" s="150"/>
      <c r="F113" s="7" t="s">
        <v>1165</v>
      </c>
    </row>
    <row r="114" spans="1:10" ht="15.5">
      <c r="A114" s="141" t="s">
        <v>1045</v>
      </c>
      <c r="B114" s="139">
        <v>43678</v>
      </c>
      <c r="C114" s="23" t="s">
        <v>1152</v>
      </c>
      <c r="D114" s="150">
        <v>100</v>
      </c>
      <c r="E114" s="150"/>
    </row>
    <row r="115" spans="1:10" ht="15.5">
      <c r="A115" s="141" t="s">
        <v>1045</v>
      </c>
      <c r="B115" s="139">
        <v>43678</v>
      </c>
      <c r="C115" s="148" t="s">
        <v>1046</v>
      </c>
      <c r="D115" s="150">
        <v>1800</v>
      </c>
      <c r="E115" s="150"/>
    </row>
    <row r="116" spans="1:10" ht="15.5">
      <c r="A116" s="141" t="s">
        <v>1045</v>
      </c>
      <c r="B116" s="139">
        <v>43678</v>
      </c>
      <c r="C116" s="23" t="s">
        <v>1397</v>
      </c>
      <c r="D116" s="150">
        <v>176.4</v>
      </c>
      <c r="E116" s="150"/>
    </row>
    <row r="117" spans="1:10" ht="15.5">
      <c r="A117" s="141" t="s">
        <v>1045</v>
      </c>
      <c r="B117" s="139">
        <v>43692</v>
      </c>
      <c r="C117" s="23" t="s">
        <v>1049</v>
      </c>
      <c r="D117" s="150">
        <v>500</v>
      </c>
      <c r="E117" s="150"/>
      <c r="J117">
        <v>20</v>
      </c>
    </row>
    <row r="118" spans="1:10" ht="15.5">
      <c r="A118" s="141" t="s">
        <v>1045</v>
      </c>
      <c r="B118" s="139">
        <v>43678</v>
      </c>
      <c r="C118" s="23" t="s">
        <v>1051</v>
      </c>
      <c r="D118" s="150">
        <v>360</v>
      </c>
      <c r="E118" s="150"/>
    </row>
    <row r="119" spans="1:10" ht="15.5">
      <c r="A119" s="141" t="s">
        <v>1055</v>
      </c>
      <c r="B119" s="139">
        <v>43692</v>
      </c>
      <c r="C119" s="23" t="s">
        <v>1075</v>
      </c>
      <c r="D119" s="150">
        <v>180</v>
      </c>
      <c r="E119" s="150"/>
      <c r="J119">
        <v>21</v>
      </c>
    </row>
    <row r="120" spans="1:10" ht="15.5">
      <c r="A120" s="141" t="s">
        <v>1055</v>
      </c>
      <c r="B120" s="139">
        <v>43692</v>
      </c>
      <c r="C120" s="23" t="s">
        <v>1075</v>
      </c>
      <c r="D120" s="150">
        <v>180</v>
      </c>
      <c r="E120" s="150"/>
      <c r="J120">
        <v>22</v>
      </c>
    </row>
    <row r="121" spans="1:10" ht="15.5">
      <c r="A121" s="141" t="s">
        <v>1058</v>
      </c>
      <c r="B121" s="139">
        <v>43692</v>
      </c>
      <c r="C121" s="23" t="s">
        <v>1059</v>
      </c>
      <c r="D121" s="150">
        <v>18</v>
      </c>
      <c r="E121" s="150"/>
    </row>
    <row r="122" spans="1:10" ht="15.5">
      <c r="A122" s="141" t="s">
        <v>1058</v>
      </c>
      <c r="B122" s="139">
        <v>43692</v>
      </c>
      <c r="C122" s="8" t="s">
        <v>1060</v>
      </c>
      <c r="D122" s="150">
        <v>25</v>
      </c>
      <c r="E122" s="150"/>
    </row>
    <row r="123" spans="1:10" ht="15.5">
      <c r="A123" s="141" t="s">
        <v>1058</v>
      </c>
      <c r="B123" s="139">
        <v>43692</v>
      </c>
      <c r="C123" s="23" t="s">
        <v>1061</v>
      </c>
      <c r="D123" s="150">
        <v>100</v>
      </c>
      <c r="E123" s="150"/>
      <c r="F123" s="7" t="s">
        <v>1165</v>
      </c>
    </row>
    <row r="124" spans="1:10" ht="15.5">
      <c r="A124" s="141" t="s">
        <v>1058</v>
      </c>
      <c r="B124" s="139">
        <v>43692</v>
      </c>
      <c r="C124" s="23" t="s">
        <v>1062</v>
      </c>
      <c r="D124" s="150">
        <v>100</v>
      </c>
      <c r="E124" s="150"/>
      <c r="F124" s="7" t="s">
        <v>1165</v>
      </c>
    </row>
    <row r="125" spans="1:10" ht="15.5">
      <c r="A125" s="141" t="s">
        <v>1058</v>
      </c>
      <c r="B125" s="139">
        <v>43692</v>
      </c>
      <c r="C125" s="23" t="s">
        <v>1063</v>
      </c>
      <c r="D125" s="150">
        <v>36</v>
      </c>
      <c r="E125" s="150"/>
    </row>
    <row r="126" spans="1:10" ht="15.5">
      <c r="A126" s="141" t="s">
        <v>1058</v>
      </c>
      <c r="B126" s="139">
        <v>43692</v>
      </c>
      <c r="C126" s="23" t="s">
        <v>1064</v>
      </c>
      <c r="D126" s="150">
        <v>100</v>
      </c>
      <c r="E126" s="150"/>
    </row>
    <row r="127" spans="1:10" ht="15.5">
      <c r="A127" s="141" t="s">
        <v>1058</v>
      </c>
      <c r="B127" s="139">
        <v>43692</v>
      </c>
      <c r="C127" s="117" t="s">
        <v>1067</v>
      </c>
      <c r="D127" s="150">
        <v>35</v>
      </c>
      <c r="E127" s="150"/>
    </row>
    <row r="128" spans="1:10" ht="15.5">
      <c r="A128" s="141" t="s">
        <v>1058</v>
      </c>
      <c r="B128" s="139">
        <v>43692</v>
      </c>
      <c r="C128" s="117" t="s">
        <v>1068</v>
      </c>
      <c r="D128" s="150">
        <v>100</v>
      </c>
      <c r="E128" s="150"/>
    </row>
    <row r="129" spans="1:5" ht="15.5">
      <c r="A129" s="141" t="s">
        <v>1058</v>
      </c>
      <c r="B129" s="139">
        <v>43692</v>
      </c>
      <c r="C129" s="117" t="s">
        <v>1069</v>
      </c>
      <c r="D129" s="150">
        <v>100</v>
      </c>
      <c r="E129" s="150"/>
    </row>
    <row r="130" spans="1:5" ht="15.5">
      <c r="A130" s="141" t="s">
        <v>1058</v>
      </c>
      <c r="B130" s="139">
        <v>43692</v>
      </c>
      <c r="C130" s="117" t="s">
        <v>1070</v>
      </c>
      <c r="D130" s="150">
        <v>2000</v>
      </c>
      <c r="E130" s="150"/>
    </row>
    <row r="131" spans="1:5" ht="15.5">
      <c r="A131" s="141" t="s">
        <v>1058</v>
      </c>
      <c r="B131" s="139">
        <v>43692</v>
      </c>
      <c r="C131" s="147" t="s">
        <v>1071</v>
      </c>
      <c r="D131" s="150">
        <v>50</v>
      </c>
      <c r="E131" s="150"/>
    </row>
    <row r="132" spans="1:5" ht="15.5">
      <c r="A132" s="141" t="s">
        <v>1074</v>
      </c>
      <c r="B132" s="139">
        <v>43692</v>
      </c>
      <c r="C132" s="147" t="s">
        <v>574</v>
      </c>
      <c r="D132" s="150">
        <v>1000</v>
      </c>
      <c r="E132" s="150"/>
    </row>
    <row r="133" spans="1:5" ht="15.5">
      <c r="A133" s="141" t="s">
        <v>1074</v>
      </c>
      <c r="B133" s="139">
        <v>43692</v>
      </c>
      <c r="C133" s="147" t="s">
        <v>1399</v>
      </c>
      <c r="D133" s="150">
        <v>500</v>
      </c>
      <c r="E133" s="150"/>
    </row>
    <row r="134" spans="1:5" ht="15.5">
      <c r="A134" s="141" t="s">
        <v>1074</v>
      </c>
      <c r="B134" s="139">
        <v>43692</v>
      </c>
      <c r="C134" s="147" t="s">
        <v>1076</v>
      </c>
      <c r="D134" s="150">
        <v>101</v>
      </c>
      <c r="E134" s="150"/>
    </row>
    <row r="135" spans="1:5" ht="15.5">
      <c r="A135" s="141" t="s">
        <v>1079</v>
      </c>
      <c r="B135" s="139">
        <v>43692</v>
      </c>
      <c r="C135" s="147" t="s">
        <v>1080</v>
      </c>
      <c r="D135" s="150">
        <v>2500</v>
      </c>
      <c r="E135" s="150"/>
    </row>
    <row r="136" spans="1:5" ht="15.5">
      <c r="A136" s="141" t="s">
        <v>1079</v>
      </c>
      <c r="B136" s="139">
        <v>43692</v>
      </c>
      <c r="C136" t="s">
        <v>1423</v>
      </c>
      <c r="D136" s="150">
        <v>100</v>
      </c>
      <c r="E136" s="150"/>
    </row>
    <row r="137" spans="1:5" ht="15.5">
      <c r="A137" s="141" t="s">
        <v>1083</v>
      </c>
      <c r="B137" s="139">
        <v>43692</v>
      </c>
      <c r="C137" s="148" t="s">
        <v>1082</v>
      </c>
      <c r="D137" s="150">
        <v>500</v>
      </c>
      <c r="E137" s="150"/>
    </row>
    <row r="138" spans="1:5" ht="15.5">
      <c r="A138" s="141" t="s">
        <v>1083</v>
      </c>
      <c r="B138" s="139">
        <v>43692</v>
      </c>
      <c r="C138" s="148" t="s">
        <v>1084</v>
      </c>
      <c r="D138" s="150">
        <v>180</v>
      </c>
      <c r="E138" s="150"/>
    </row>
    <row r="139" spans="1:5" ht="15.5">
      <c r="A139" s="141" t="s">
        <v>1089</v>
      </c>
      <c r="B139" s="139">
        <v>43692</v>
      </c>
      <c r="C139" s="144" t="s">
        <v>1090</v>
      </c>
      <c r="D139" s="150">
        <v>150</v>
      </c>
      <c r="E139" s="150"/>
    </row>
    <row r="140" spans="1:5" ht="15.5">
      <c r="A140" s="141" t="s">
        <v>1089</v>
      </c>
      <c r="B140" s="139">
        <v>43692</v>
      </c>
      <c r="C140" s="144" t="s">
        <v>1091</v>
      </c>
      <c r="D140" s="150">
        <v>150</v>
      </c>
      <c r="E140" s="150"/>
    </row>
    <row r="141" spans="1:5" ht="15.5">
      <c r="A141" s="141" t="s">
        <v>1089</v>
      </c>
      <c r="B141" s="139">
        <v>43692</v>
      </c>
      <c r="C141" s="148" t="s">
        <v>1092</v>
      </c>
      <c r="D141" s="150">
        <v>1750</v>
      </c>
      <c r="E141" s="150"/>
    </row>
    <row r="142" spans="1:5" ht="15.5">
      <c r="A142" s="141" t="s">
        <v>1095</v>
      </c>
      <c r="B142" s="139">
        <v>43723</v>
      </c>
      <c r="C142" s="148" t="s">
        <v>1094</v>
      </c>
      <c r="D142" s="150">
        <v>3000</v>
      </c>
      <c r="E142" s="150"/>
    </row>
    <row r="143" spans="1:5" ht="15.5">
      <c r="A143" s="141" t="s">
        <v>1096</v>
      </c>
      <c r="B143" s="139">
        <v>43723</v>
      </c>
      <c r="C143" s="148" t="s">
        <v>1097</v>
      </c>
      <c r="D143" s="150">
        <v>36</v>
      </c>
      <c r="E143" s="150"/>
    </row>
    <row r="144" spans="1:5" ht="15.5">
      <c r="A144" s="141" t="s">
        <v>1096</v>
      </c>
      <c r="B144" s="139">
        <v>43723</v>
      </c>
      <c r="C144" s="148" t="s">
        <v>1098</v>
      </c>
      <c r="D144" s="150">
        <v>18</v>
      </c>
      <c r="E144" s="150"/>
    </row>
    <row r="145" spans="1:5" ht="15.5">
      <c r="A145" s="141" t="s">
        <v>1096</v>
      </c>
      <c r="B145" s="139">
        <v>43723</v>
      </c>
      <c r="C145" s="148" t="s">
        <v>1099</v>
      </c>
      <c r="D145" s="150">
        <v>18</v>
      </c>
      <c r="E145" s="150"/>
    </row>
    <row r="146" spans="1:5" ht="15.5">
      <c r="A146" s="141" t="s">
        <v>1096</v>
      </c>
      <c r="B146" s="139">
        <v>43723</v>
      </c>
      <c r="C146" s="148" t="s">
        <v>1100</v>
      </c>
      <c r="D146" s="150">
        <v>50</v>
      </c>
      <c r="E146" s="150"/>
    </row>
    <row r="147" spans="1:5" ht="15.5">
      <c r="A147" s="141" t="s">
        <v>1096</v>
      </c>
      <c r="B147" s="139">
        <v>43723</v>
      </c>
      <c r="C147" s="148" t="s">
        <v>1101</v>
      </c>
      <c r="D147" s="150">
        <v>50</v>
      </c>
      <c r="E147" s="150"/>
    </row>
    <row r="148" spans="1:5" ht="15.5">
      <c r="A148" s="141" t="s">
        <v>1096</v>
      </c>
      <c r="B148" s="139">
        <v>43723</v>
      </c>
      <c r="C148" s="148" t="s">
        <v>1102</v>
      </c>
      <c r="D148" s="150">
        <v>85</v>
      </c>
      <c r="E148" s="150"/>
    </row>
    <row r="149" spans="1:5" ht="15.5">
      <c r="A149" s="141" t="s">
        <v>1096</v>
      </c>
      <c r="B149" s="139">
        <v>43723</v>
      </c>
      <c r="C149" s="148" t="s">
        <v>1103</v>
      </c>
      <c r="D149" s="150">
        <v>72</v>
      </c>
      <c r="E149" s="150"/>
    </row>
    <row r="150" spans="1:5" ht="15.5">
      <c r="A150" s="141" t="s">
        <v>1096</v>
      </c>
      <c r="B150" s="139">
        <v>43723</v>
      </c>
      <c r="C150" s="148" t="s">
        <v>1104</v>
      </c>
      <c r="D150" s="150">
        <v>100</v>
      </c>
      <c r="E150" s="150"/>
    </row>
    <row r="151" spans="1:5" ht="15.5">
      <c r="A151" s="141" t="s">
        <v>1096</v>
      </c>
      <c r="B151" s="139">
        <v>43723</v>
      </c>
      <c r="C151" s="148" t="s">
        <v>1105</v>
      </c>
      <c r="D151" s="150">
        <v>100</v>
      </c>
      <c r="E151" s="150"/>
    </row>
    <row r="152" spans="1:5" ht="15.5">
      <c r="A152" s="141" t="s">
        <v>1096</v>
      </c>
      <c r="B152" s="139">
        <v>43723</v>
      </c>
      <c r="C152" s="148" t="s">
        <v>1106</v>
      </c>
      <c r="D152" s="150">
        <v>100</v>
      </c>
      <c r="E152" s="150"/>
    </row>
    <row r="153" spans="1:5" ht="15.5">
      <c r="A153" s="141" t="s">
        <v>1096</v>
      </c>
      <c r="B153" s="139">
        <v>43723</v>
      </c>
      <c r="C153" s="148" t="s">
        <v>1107</v>
      </c>
      <c r="D153" s="150">
        <v>100</v>
      </c>
      <c r="E153" s="150"/>
    </row>
    <row r="154" spans="1:5" ht="15.5">
      <c r="A154" s="141" t="s">
        <v>1096</v>
      </c>
      <c r="B154" s="141"/>
      <c r="C154" s="148" t="s">
        <v>1108</v>
      </c>
      <c r="D154" s="150">
        <f>1000-1000</f>
        <v>0</v>
      </c>
      <c r="E154" s="150"/>
    </row>
    <row r="155" spans="1:5" ht="15.5">
      <c r="A155" s="141" t="s">
        <v>1096</v>
      </c>
      <c r="B155" s="141"/>
      <c r="C155" s="148" t="s">
        <v>1108</v>
      </c>
      <c r="D155" s="150">
        <f>2000-2000</f>
        <v>0</v>
      </c>
      <c r="E155" s="150"/>
    </row>
    <row r="156" spans="1:5" ht="15.5">
      <c r="A156" s="141" t="s">
        <v>1096</v>
      </c>
      <c r="B156" s="141"/>
      <c r="C156" s="148" t="s">
        <v>1108</v>
      </c>
      <c r="D156" s="150">
        <f>2000-2000</f>
        <v>0</v>
      </c>
      <c r="E156" s="150"/>
    </row>
    <row r="157" spans="1:5" ht="15.5">
      <c r="A157" s="141" t="s">
        <v>1096</v>
      </c>
      <c r="B157" s="139">
        <v>43723</v>
      </c>
      <c r="C157" s="148" t="s">
        <v>1109</v>
      </c>
      <c r="D157" s="150">
        <v>360</v>
      </c>
      <c r="E157" s="150"/>
    </row>
    <row r="158" spans="1:5" ht="15.5">
      <c r="A158" s="141" t="s">
        <v>1096</v>
      </c>
      <c r="B158" s="139">
        <v>43723</v>
      </c>
      <c r="C158" s="148" t="s">
        <v>1110</v>
      </c>
      <c r="D158" s="150">
        <v>18</v>
      </c>
      <c r="E158" s="150"/>
    </row>
    <row r="159" spans="1:5" ht="15.5">
      <c r="A159" s="141" t="s">
        <v>1096</v>
      </c>
      <c r="B159" s="141"/>
      <c r="C159" s="170" t="s">
        <v>1121</v>
      </c>
      <c r="D159" s="150"/>
      <c r="E159" s="136" t="s">
        <v>1413</v>
      </c>
    </row>
    <row r="160" spans="1:5" ht="15.5">
      <c r="A160" s="141" t="s">
        <v>1096</v>
      </c>
      <c r="B160" s="141"/>
      <c r="C160" s="170" t="s">
        <v>1121</v>
      </c>
      <c r="D160" s="150"/>
      <c r="E160" s="136" t="s">
        <v>1413</v>
      </c>
    </row>
    <row r="161" spans="1:5" ht="15.5">
      <c r="A161" s="141" t="s">
        <v>1096</v>
      </c>
      <c r="B161" s="139">
        <v>43723</v>
      </c>
      <c r="C161" s="148" t="s">
        <v>1120</v>
      </c>
      <c r="D161" s="150">
        <v>100</v>
      </c>
      <c r="E161" s="150"/>
    </row>
    <row r="162" spans="1:5" ht="15.5">
      <c r="A162" s="141" t="s">
        <v>1096</v>
      </c>
      <c r="B162" s="139">
        <v>43723</v>
      </c>
      <c r="C162" s="148" t="s">
        <v>1119</v>
      </c>
      <c r="D162" s="150">
        <v>1000</v>
      </c>
      <c r="E162" s="150"/>
    </row>
    <row r="163" spans="1:5" ht="15.5">
      <c r="A163" s="141" t="s">
        <v>1096</v>
      </c>
      <c r="B163" s="139">
        <v>43723</v>
      </c>
      <c r="C163" s="148" t="s">
        <v>1400</v>
      </c>
      <c r="D163" s="150">
        <v>500</v>
      </c>
      <c r="E163" s="150"/>
    </row>
    <row r="164" spans="1:5" ht="15.5">
      <c r="A164" s="141" t="s">
        <v>1096</v>
      </c>
      <c r="B164" s="139">
        <v>43723</v>
      </c>
      <c r="C164" s="148" t="s">
        <v>1118</v>
      </c>
      <c r="D164" s="150">
        <v>200</v>
      </c>
      <c r="E164" s="150"/>
    </row>
    <row r="165" spans="1:5" ht="15.5">
      <c r="A165" s="141" t="s">
        <v>1096</v>
      </c>
      <c r="B165" s="139">
        <v>43723</v>
      </c>
      <c r="C165" s="148" t="s">
        <v>1117</v>
      </c>
      <c r="D165" s="150">
        <v>500</v>
      </c>
      <c r="E165" s="150"/>
    </row>
    <row r="166" spans="1:5" ht="15.5">
      <c r="A166" s="141" t="s">
        <v>1096</v>
      </c>
      <c r="B166" s="139">
        <v>43723</v>
      </c>
      <c r="C166" s="148" t="s">
        <v>1116</v>
      </c>
      <c r="D166" s="150">
        <v>36</v>
      </c>
      <c r="E166" s="150"/>
    </row>
    <row r="167" spans="1:5" ht="15.5">
      <c r="A167" s="141" t="s">
        <v>1096</v>
      </c>
      <c r="B167" s="139">
        <v>43723</v>
      </c>
      <c r="C167" s="148" t="s">
        <v>1115</v>
      </c>
      <c r="D167" s="150">
        <v>200</v>
      </c>
      <c r="E167" s="150"/>
    </row>
    <row r="168" spans="1:5" ht="15.5">
      <c r="A168" s="141" t="s">
        <v>1096</v>
      </c>
      <c r="B168" s="139">
        <v>43723</v>
      </c>
      <c r="C168" s="148" t="s">
        <v>1114</v>
      </c>
      <c r="D168" s="150">
        <v>150</v>
      </c>
      <c r="E168" s="150"/>
    </row>
    <row r="169" spans="1:5" ht="15.5">
      <c r="A169" s="141" t="s">
        <v>1096</v>
      </c>
      <c r="B169" s="139">
        <v>43723</v>
      </c>
      <c r="C169" s="148" t="s">
        <v>1113</v>
      </c>
      <c r="D169" s="150">
        <v>100</v>
      </c>
      <c r="E169" s="150"/>
    </row>
    <row r="170" spans="1:5" ht="15.5">
      <c r="A170" s="141" t="s">
        <v>1096</v>
      </c>
      <c r="B170" s="139">
        <v>43723</v>
      </c>
      <c r="C170" s="148" t="s">
        <v>1112</v>
      </c>
      <c r="D170" s="150">
        <v>25</v>
      </c>
      <c r="E170" s="150"/>
    </row>
    <row r="171" spans="1:5" ht="15.5">
      <c r="A171" s="141" t="s">
        <v>1096</v>
      </c>
      <c r="B171" s="139">
        <v>43723</v>
      </c>
      <c r="C171" s="148" t="s">
        <v>1111</v>
      </c>
      <c r="D171" s="150">
        <v>18</v>
      </c>
      <c r="E171" s="150"/>
    </row>
    <row r="172" spans="1:5" ht="15.5">
      <c r="A172" s="141" t="s">
        <v>1096</v>
      </c>
      <c r="B172" s="139">
        <v>43723</v>
      </c>
      <c r="C172" s="148" t="s">
        <v>1145</v>
      </c>
      <c r="D172" s="150">
        <v>36</v>
      </c>
      <c r="E172" s="150"/>
    </row>
    <row r="173" spans="1:5" ht="15.5">
      <c r="A173" s="141" t="s">
        <v>1096</v>
      </c>
      <c r="B173" s="139">
        <v>43723</v>
      </c>
      <c r="C173" s="148" t="s">
        <v>1151</v>
      </c>
      <c r="D173" s="150">
        <v>500</v>
      </c>
      <c r="E173" s="150"/>
    </row>
    <row r="174" spans="1:5" ht="15.5">
      <c r="A174" s="141" t="s">
        <v>1129</v>
      </c>
      <c r="B174" s="139">
        <v>43723</v>
      </c>
      <c r="C174" s="148" t="s">
        <v>1128</v>
      </c>
      <c r="D174" s="150">
        <v>9000</v>
      </c>
      <c r="E174" s="150"/>
    </row>
    <row r="175" spans="1:5" ht="15.5">
      <c r="A175" s="141" t="s">
        <v>1129</v>
      </c>
      <c r="B175" s="139">
        <v>43723</v>
      </c>
      <c r="C175" s="148" t="s">
        <v>1130</v>
      </c>
      <c r="D175" s="150">
        <v>165</v>
      </c>
      <c r="E175" s="150"/>
    </row>
    <row r="176" spans="1:5" ht="15.5">
      <c r="A176" s="141" t="s">
        <v>1136</v>
      </c>
      <c r="B176" s="139">
        <v>43731</v>
      </c>
      <c r="C176" s="147" t="s">
        <v>1080</v>
      </c>
      <c r="D176" s="150">
        <v>2500</v>
      </c>
      <c r="E176" s="150"/>
    </row>
    <row r="177" spans="1:5" ht="15.5">
      <c r="A177" s="141" t="s">
        <v>1136</v>
      </c>
      <c r="B177" s="139">
        <v>43731</v>
      </c>
      <c r="C177" s="148" t="s">
        <v>1137</v>
      </c>
      <c r="D177" s="150">
        <v>250</v>
      </c>
      <c r="E177" s="150"/>
    </row>
    <row r="178" spans="1:5" ht="15.5">
      <c r="A178" s="141" t="s">
        <v>1138</v>
      </c>
      <c r="B178" s="139">
        <v>43731</v>
      </c>
      <c r="C178" s="144" t="s">
        <v>1139</v>
      </c>
      <c r="D178" s="150">
        <v>5000</v>
      </c>
      <c r="E178" s="150"/>
    </row>
    <row r="179" spans="1:5" ht="15.5">
      <c r="A179" s="141" t="s">
        <v>1142</v>
      </c>
      <c r="B179" s="139">
        <v>43731</v>
      </c>
      <c r="C179" s="148" t="s">
        <v>1143</v>
      </c>
      <c r="D179" s="150">
        <v>8600</v>
      </c>
      <c r="E179" s="150"/>
    </row>
    <row r="180" spans="1:5" ht="15.5">
      <c r="A180" s="141" t="s">
        <v>1149</v>
      </c>
      <c r="B180" s="139">
        <v>43731</v>
      </c>
      <c r="C180" s="148" t="s">
        <v>1150</v>
      </c>
      <c r="D180" s="150">
        <v>5000</v>
      </c>
      <c r="E180" s="150"/>
    </row>
    <row r="181" spans="1:5" ht="15.5">
      <c r="A181" s="141" t="s">
        <v>1149</v>
      </c>
      <c r="B181" s="139">
        <v>43731</v>
      </c>
      <c r="C181" s="148" t="s">
        <v>1070</v>
      </c>
      <c r="D181" s="150">
        <v>1000</v>
      </c>
      <c r="E181" s="150"/>
    </row>
    <row r="182" spans="1:5" ht="15.5">
      <c r="A182" s="141" t="s">
        <v>1154</v>
      </c>
      <c r="B182" s="139">
        <v>43746</v>
      </c>
      <c r="C182" s="148" t="s">
        <v>1153</v>
      </c>
      <c r="D182" s="150">
        <v>2000</v>
      </c>
      <c r="E182" s="150"/>
    </row>
    <row r="183" spans="1:5" ht="15.5">
      <c r="A183" s="141" t="s">
        <v>1164</v>
      </c>
      <c r="B183" s="139">
        <v>43746</v>
      </c>
      <c r="C183" s="148" t="s">
        <v>373</v>
      </c>
      <c r="D183" s="150">
        <v>1500</v>
      </c>
      <c r="E183" s="150"/>
    </row>
    <row r="184" spans="1:5" ht="15.5">
      <c r="A184" s="141" t="s">
        <v>1169</v>
      </c>
      <c r="B184" s="139">
        <v>43746</v>
      </c>
      <c r="C184" s="148" t="s">
        <v>523</v>
      </c>
      <c r="D184" s="150">
        <v>4000</v>
      </c>
      <c r="E184" s="150"/>
    </row>
    <row r="185" spans="1:5" ht="15.5">
      <c r="A185" s="141" t="s">
        <v>1173</v>
      </c>
      <c r="B185" s="139">
        <v>43746</v>
      </c>
      <c r="C185" s="148" t="s">
        <v>1172</v>
      </c>
      <c r="D185" s="150">
        <v>1500</v>
      </c>
      <c r="E185" s="150"/>
    </row>
    <row r="186" spans="1:5" ht="15.5">
      <c r="A186" s="141" t="s">
        <v>1173</v>
      </c>
      <c r="B186" s="139">
        <v>43746</v>
      </c>
      <c r="C186" s="148" t="s">
        <v>1001</v>
      </c>
      <c r="D186" s="150">
        <v>125</v>
      </c>
      <c r="E186" s="150"/>
    </row>
    <row r="187" spans="1:5" ht="15.5">
      <c r="A187" s="141" t="s">
        <v>1173</v>
      </c>
      <c r="B187" s="139">
        <v>43746</v>
      </c>
      <c r="C187" s="148" t="s">
        <v>1174</v>
      </c>
      <c r="D187" s="150">
        <v>500</v>
      </c>
      <c r="E187" s="150"/>
    </row>
    <row r="188" spans="1:5" ht="15.5">
      <c r="A188" s="141" t="s">
        <v>1175</v>
      </c>
      <c r="B188" s="139">
        <v>43746</v>
      </c>
      <c r="C188" s="148" t="s">
        <v>1170</v>
      </c>
      <c r="D188" s="150">
        <v>500</v>
      </c>
      <c r="E188" s="150"/>
    </row>
    <row r="189" spans="1:5" ht="15.5">
      <c r="A189" s="141" t="s">
        <v>1175</v>
      </c>
      <c r="B189" s="139">
        <v>43746</v>
      </c>
      <c r="C189" s="23" t="s">
        <v>946</v>
      </c>
      <c r="D189" s="150">
        <v>500</v>
      </c>
      <c r="E189" s="150"/>
    </row>
    <row r="190" spans="1:5" ht="15.5">
      <c r="A190" s="141" t="s">
        <v>1181</v>
      </c>
      <c r="B190" s="139">
        <v>43746</v>
      </c>
      <c r="C190" s="23" t="s">
        <v>1182</v>
      </c>
      <c r="D190" s="150">
        <v>2500</v>
      </c>
      <c r="E190" s="150"/>
    </row>
    <row r="191" spans="1:5" ht="15.5">
      <c r="A191" s="141" t="s">
        <v>1185</v>
      </c>
      <c r="B191" s="139">
        <v>43784</v>
      </c>
      <c r="C191" s="23" t="s">
        <v>1186</v>
      </c>
      <c r="D191" s="150">
        <v>750</v>
      </c>
      <c r="E191" s="150"/>
    </row>
    <row r="192" spans="1:5" ht="15.5">
      <c r="A192" s="141" t="s">
        <v>1199</v>
      </c>
      <c r="B192" s="139">
        <v>43784</v>
      </c>
      <c r="C192" s="23" t="s">
        <v>1200</v>
      </c>
      <c r="D192" s="150">
        <v>750</v>
      </c>
      <c r="E192" s="150"/>
    </row>
    <row r="193" spans="1:8" ht="15.5">
      <c r="A193" s="141" t="s">
        <v>1199</v>
      </c>
      <c r="B193" s="139">
        <v>43784</v>
      </c>
      <c r="C193" s="23" t="s">
        <v>1201</v>
      </c>
      <c r="D193" s="150">
        <v>50</v>
      </c>
      <c r="E193" s="150"/>
    </row>
    <row r="194" spans="1:8" ht="15.5">
      <c r="A194" s="141" t="s">
        <v>1199</v>
      </c>
      <c r="B194" s="139">
        <v>43784</v>
      </c>
      <c r="C194" s="144" t="s">
        <v>1202</v>
      </c>
      <c r="D194" s="150">
        <v>500</v>
      </c>
      <c r="E194" s="150"/>
    </row>
    <row r="195" spans="1:8" ht="15.5">
      <c r="A195" s="141" t="s">
        <v>1199</v>
      </c>
      <c r="B195" s="139">
        <v>43784</v>
      </c>
      <c r="C195" s="144" t="s">
        <v>1203</v>
      </c>
      <c r="D195" s="150">
        <v>150</v>
      </c>
      <c r="E195" s="150"/>
    </row>
    <row r="196" spans="1:8" ht="15.5">
      <c r="A196" s="141" t="s">
        <v>1199</v>
      </c>
      <c r="B196" s="139">
        <v>43784</v>
      </c>
      <c r="C196" s="144" t="s">
        <v>1204</v>
      </c>
      <c r="D196" s="150">
        <v>10</v>
      </c>
      <c r="E196" s="150"/>
    </row>
    <row r="197" spans="1:8" ht="15.5">
      <c r="A197" s="141" t="s">
        <v>1199</v>
      </c>
      <c r="B197" s="139">
        <v>43784</v>
      </c>
      <c r="C197" s="144" t="s">
        <v>1205</v>
      </c>
      <c r="D197" s="150">
        <v>180</v>
      </c>
      <c r="E197" s="150"/>
    </row>
    <row r="198" spans="1:8" ht="15.5">
      <c r="A198" s="141" t="s">
        <v>1199</v>
      </c>
      <c r="B198" s="139">
        <v>43784</v>
      </c>
      <c r="C198" s="144" t="s">
        <v>1206</v>
      </c>
      <c r="D198" s="150">
        <v>25</v>
      </c>
      <c r="E198" s="150"/>
    </row>
    <row r="199" spans="1:8" ht="15.5">
      <c r="A199" s="141" t="s">
        <v>1218</v>
      </c>
      <c r="B199" s="139">
        <v>43784</v>
      </c>
      <c r="C199" s="23" t="s">
        <v>1217</v>
      </c>
      <c r="D199" s="150">
        <v>2500</v>
      </c>
      <c r="E199" s="150"/>
    </row>
    <row r="200" spans="1:8" ht="15.5">
      <c r="A200" s="141" t="s">
        <v>1221</v>
      </c>
      <c r="B200" s="139">
        <v>43800</v>
      </c>
      <c r="C200" s="23" t="s">
        <v>1220</v>
      </c>
      <c r="D200" s="150">
        <v>250</v>
      </c>
      <c r="E200" s="150"/>
    </row>
    <row r="201" spans="1:8" ht="15.5">
      <c r="A201" s="141" t="s">
        <v>1231</v>
      </c>
      <c r="B201" s="139">
        <v>43800</v>
      </c>
      <c r="C201" s="23" t="s">
        <v>1191</v>
      </c>
      <c r="D201" s="150">
        <v>500</v>
      </c>
      <c r="E201" s="150"/>
      <c r="F201" t="s">
        <v>1230</v>
      </c>
    </row>
    <row r="202" spans="1:8" ht="15.5">
      <c r="A202" s="141" t="s">
        <v>1231</v>
      </c>
      <c r="B202" s="139">
        <v>43800</v>
      </c>
      <c r="C202" s="23" t="s">
        <v>1192</v>
      </c>
      <c r="D202" s="150">
        <v>400</v>
      </c>
      <c r="E202" s="150"/>
      <c r="F202" t="s">
        <v>1230</v>
      </c>
    </row>
    <row r="203" spans="1:8" ht="15.5">
      <c r="A203" s="141" t="s">
        <v>1231</v>
      </c>
      <c r="B203" s="139">
        <v>43800</v>
      </c>
      <c r="C203" s="23" t="s">
        <v>1219</v>
      </c>
      <c r="D203" s="150">
        <v>500</v>
      </c>
      <c r="E203" s="150"/>
      <c r="F203" t="s">
        <v>1230</v>
      </c>
    </row>
    <row r="204" spans="1:8" ht="15.5">
      <c r="A204" s="141" t="s">
        <v>1238</v>
      </c>
      <c r="B204" s="139">
        <v>43800</v>
      </c>
      <c r="C204" s="144" t="s">
        <v>1128</v>
      </c>
      <c r="D204" s="150">
        <v>150</v>
      </c>
      <c r="E204" s="150"/>
      <c r="G204" s="144"/>
      <c r="H204"/>
    </row>
    <row r="205" spans="1:8" ht="15.5">
      <c r="A205" s="141" t="s">
        <v>1296</v>
      </c>
      <c r="B205" s="139">
        <v>43829</v>
      </c>
      <c r="C205" s="23" t="s">
        <v>1187</v>
      </c>
      <c r="D205" s="150">
        <v>2000</v>
      </c>
      <c r="E205" s="150"/>
    </row>
    <row r="206" spans="1:8" ht="15.5">
      <c r="A206" s="141" t="s">
        <v>1300</v>
      </c>
      <c r="B206" s="139">
        <v>43829</v>
      </c>
      <c r="C206" s="23" t="s">
        <v>1301</v>
      </c>
      <c r="D206" s="150">
        <v>2500</v>
      </c>
      <c r="E206" s="150"/>
    </row>
    <row r="207" spans="1:8" ht="15.5">
      <c r="A207" s="141" t="s">
        <v>1305</v>
      </c>
      <c r="B207" s="139">
        <v>43829</v>
      </c>
      <c r="C207" s="23" t="s">
        <v>1303</v>
      </c>
      <c r="D207" s="150">
        <v>500</v>
      </c>
      <c r="E207" s="150"/>
      <c r="F207" s="150"/>
    </row>
    <row r="208" spans="1:8" ht="15.5">
      <c r="A208" s="141" t="s">
        <v>1304</v>
      </c>
      <c r="B208" s="139">
        <v>43829</v>
      </c>
      <c r="C208" s="117" t="s">
        <v>1306</v>
      </c>
      <c r="D208" s="150">
        <v>5000</v>
      </c>
      <c r="E208" s="150"/>
      <c r="F208" s="144"/>
      <c r="H208"/>
    </row>
    <row r="209" spans="1:6" ht="15.5">
      <c r="A209" s="141" t="s">
        <v>1313</v>
      </c>
      <c r="B209" s="139">
        <v>43829</v>
      </c>
      <c r="C209" s="23" t="s">
        <v>1314</v>
      </c>
      <c r="D209" s="150">
        <v>2500</v>
      </c>
      <c r="E209" s="150"/>
      <c r="F209" s="150"/>
    </row>
    <row r="210" spans="1:6" ht="15.5">
      <c r="A210" s="141" t="s">
        <v>1313</v>
      </c>
      <c r="B210" s="139">
        <v>43829</v>
      </c>
      <c r="C210" s="23" t="s">
        <v>632</v>
      </c>
      <c r="D210" s="150">
        <v>10000</v>
      </c>
      <c r="E210" s="150"/>
      <c r="F210" s="150"/>
    </row>
    <row r="211" spans="1:6" ht="15.5">
      <c r="A211" s="141" t="s">
        <v>1304</v>
      </c>
      <c r="B211" s="141"/>
      <c r="C211" s="23" t="s">
        <v>1309</v>
      </c>
      <c r="F211" s="154">
        <v>2500</v>
      </c>
    </row>
    <row r="212" spans="1:6" ht="15.5">
      <c r="A212" s="141" t="s">
        <v>1318</v>
      </c>
      <c r="B212" s="139">
        <v>43829</v>
      </c>
      <c r="C212" s="23" t="s">
        <v>981</v>
      </c>
      <c r="D212" s="150">
        <v>2000</v>
      </c>
      <c r="E212" s="150"/>
      <c r="F212" s="150"/>
    </row>
    <row r="213" spans="1:6" ht="15.5">
      <c r="A213" s="141" t="s">
        <v>1321</v>
      </c>
      <c r="B213" s="139">
        <v>43829</v>
      </c>
      <c r="C213" s="23" t="s">
        <v>1322</v>
      </c>
      <c r="D213" s="150">
        <v>2500</v>
      </c>
      <c r="E213" s="150"/>
      <c r="F213" s="150"/>
    </row>
    <row r="214" spans="1:6" ht="15.5">
      <c r="A214" s="141" t="s">
        <v>1325</v>
      </c>
      <c r="C214" s="23" t="s">
        <v>660</v>
      </c>
      <c r="D214" s="150">
        <v>72.5</v>
      </c>
      <c r="E214" s="175" t="s">
        <v>301</v>
      </c>
      <c r="F214" s="175" t="s">
        <v>1422</v>
      </c>
    </row>
    <row r="215" spans="1:6" ht="15.5">
      <c r="A215" s="141" t="s">
        <v>1334</v>
      </c>
      <c r="C215" s="23" t="s">
        <v>1335</v>
      </c>
      <c r="D215" s="150">
        <v>86.75</v>
      </c>
      <c r="E215" s="175" t="s">
        <v>301</v>
      </c>
      <c r="F215" s="175" t="s">
        <v>1422</v>
      </c>
    </row>
    <row r="216" spans="1:6" ht="15.5">
      <c r="A216" s="141" t="s">
        <v>1337</v>
      </c>
      <c r="B216" s="139">
        <v>43862</v>
      </c>
      <c r="C216" s="23" t="s">
        <v>1431</v>
      </c>
      <c r="D216" s="150">
        <v>5000</v>
      </c>
      <c r="E216" s="150"/>
      <c r="F216" s="150"/>
    </row>
    <row r="217" spans="1:6" ht="15.5">
      <c r="A217" s="141" t="s">
        <v>1337</v>
      </c>
      <c r="B217" s="139">
        <v>43862</v>
      </c>
      <c r="C217" s="158" t="s">
        <v>1338</v>
      </c>
      <c r="D217" s="150">
        <v>350</v>
      </c>
      <c r="E217" s="150"/>
      <c r="F217" s="139"/>
    </row>
    <row r="218" spans="1:6" ht="15.5">
      <c r="A218" s="141" t="s">
        <v>1347</v>
      </c>
      <c r="B218" s="139">
        <v>43862</v>
      </c>
      <c r="C218" s="23" t="s">
        <v>1346</v>
      </c>
      <c r="D218" s="150">
        <v>102</v>
      </c>
      <c r="E218" s="150"/>
      <c r="F218" s="139"/>
    </row>
    <row r="219" spans="1:6" ht="15.5">
      <c r="A219" s="141" t="s">
        <v>1351</v>
      </c>
      <c r="B219" s="139">
        <v>43862</v>
      </c>
      <c r="C219" s="148" t="s">
        <v>1401</v>
      </c>
      <c r="D219" s="150">
        <v>100</v>
      </c>
      <c r="E219" s="150"/>
      <c r="F219" s="139"/>
    </row>
    <row r="220" spans="1:6" ht="15.5">
      <c r="A220" s="141" t="s">
        <v>1353</v>
      </c>
      <c r="B220" s="139">
        <v>43862</v>
      </c>
      <c r="C220" s="139" t="s">
        <v>1354</v>
      </c>
      <c r="D220" s="150">
        <v>500</v>
      </c>
      <c r="E220" s="150"/>
      <c r="F220" s="139"/>
    </row>
    <row r="221" spans="1:6" ht="15.5">
      <c r="A221" s="141" t="s">
        <v>1356</v>
      </c>
      <c r="B221" s="141"/>
      <c r="C221" s="139" t="s">
        <v>1355</v>
      </c>
      <c r="D221" s="150">
        <v>100</v>
      </c>
      <c r="E221" s="175" t="s">
        <v>1440</v>
      </c>
      <c r="F221" s="139"/>
    </row>
    <row r="222" spans="1:6" ht="15.5">
      <c r="A222" s="141" t="s">
        <v>1357</v>
      </c>
      <c r="B222" s="141"/>
      <c r="C222" s="23" t="s">
        <v>1374</v>
      </c>
      <c r="D222" s="150">
        <v>2500</v>
      </c>
      <c r="E222" s="139"/>
      <c r="F222" s="139"/>
    </row>
    <row r="223" spans="1:6" ht="15.5">
      <c r="A223" s="141" t="s">
        <v>1357</v>
      </c>
      <c r="B223" s="141"/>
      <c r="C223" s="23" t="s">
        <v>632</v>
      </c>
      <c r="D223" s="150">
        <v>4000</v>
      </c>
      <c r="E223" s="139"/>
      <c r="F223" s="139"/>
    </row>
    <row r="224" spans="1:6" ht="15.5">
      <c r="A224" s="141" t="s">
        <v>1360</v>
      </c>
      <c r="B224" s="141"/>
      <c r="C224" s="139" t="s">
        <v>1358</v>
      </c>
      <c r="D224" s="150">
        <v>180</v>
      </c>
      <c r="E224" s="139"/>
      <c r="F224" s="139"/>
    </row>
    <row r="225" spans="1:6" ht="15.5">
      <c r="A225" s="141" t="s">
        <v>1360</v>
      </c>
      <c r="B225" s="141"/>
      <c r="C225" s="139" t="s">
        <v>1359</v>
      </c>
      <c r="D225" s="150">
        <v>50</v>
      </c>
      <c r="E225" s="139"/>
      <c r="F225" s="139"/>
    </row>
    <row r="226" spans="1:6" ht="15.5">
      <c r="A226" s="141" t="s">
        <v>1361</v>
      </c>
      <c r="B226" s="141"/>
      <c r="C226" s="23" t="s">
        <v>1362</v>
      </c>
      <c r="D226" s="150">
        <v>128</v>
      </c>
      <c r="E226" s="139"/>
      <c r="F226" s="139"/>
    </row>
    <row r="227" spans="1:6" ht="15.5">
      <c r="A227" s="141" t="s">
        <v>1364</v>
      </c>
      <c r="B227" s="141"/>
      <c r="C227" s="139" t="s">
        <v>1363</v>
      </c>
      <c r="D227" s="150">
        <v>180</v>
      </c>
      <c r="E227" s="139"/>
      <c r="F227" s="139"/>
    </row>
    <row r="228" spans="1:6" ht="15.5">
      <c r="A228" s="141" t="s">
        <v>1366</v>
      </c>
      <c r="B228" s="141"/>
      <c r="C228" s="139" t="s">
        <v>1365</v>
      </c>
      <c r="D228" s="150">
        <v>100</v>
      </c>
      <c r="E228" s="139"/>
      <c r="F228" s="139"/>
    </row>
    <row r="229" spans="1:6" ht="15.5">
      <c r="A229" s="141" t="s">
        <v>1366</v>
      </c>
      <c r="B229" s="141"/>
      <c r="C229" s="139" t="s">
        <v>1369</v>
      </c>
      <c r="D229" s="150">
        <v>20</v>
      </c>
      <c r="E229" s="139"/>
      <c r="F229" s="139"/>
    </row>
    <row r="230" spans="1:6" ht="15.5">
      <c r="A230" s="141" t="s">
        <v>1366</v>
      </c>
      <c r="B230" s="141"/>
      <c r="C230" s="139" t="s">
        <v>1370</v>
      </c>
      <c r="D230" s="150">
        <v>500</v>
      </c>
      <c r="E230" s="139"/>
      <c r="F230" s="139"/>
    </row>
    <row r="231" spans="1:6" ht="15.5">
      <c r="A231" s="141" t="s">
        <v>1373</v>
      </c>
      <c r="B231" s="141"/>
      <c r="C231" s="164" t="s">
        <v>1372</v>
      </c>
      <c r="D231" s="150">
        <v>180</v>
      </c>
      <c r="E231" s="139"/>
      <c r="F231" s="139"/>
    </row>
    <row r="232" spans="1:6" ht="15.5">
      <c r="A232" s="141" t="s">
        <v>1376</v>
      </c>
      <c r="B232" s="141"/>
      <c r="C232" s="139" t="s">
        <v>1375</v>
      </c>
      <c r="D232" s="150">
        <v>180</v>
      </c>
      <c r="E232" s="139"/>
      <c r="F232" s="139"/>
    </row>
    <row r="233" spans="1:6" ht="15.5">
      <c r="A233" s="141" t="s">
        <v>1376</v>
      </c>
      <c r="B233" s="141"/>
      <c r="C233" s="139" t="s">
        <v>1377</v>
      </c>
      <c r="D233" s="150">
        <v>100</v>
      </c>
      <c r="E233" s="139"/>
      <c r="F233" s="139"/>
    </row>
    <row r="234" spans="1:6" ht="15.5">
      <c r="A234" s="141" t="s">
        <v>1425</v>
      </c>
      <c r="B234" s="141"/>
      <c r="C234" s="139" t="s">
        <v>1424</v>
      </c>
      <c r="D234" s="150">
        <v>500</v>
      </c>
      <c r="E234" s="139"/>
      <c r="F234" s="139"/>
    </row>
    <row r="235" spans="1:6" ht="15.5">
      <c r="A235" s="141" t="s">
        <v>1425</v>
      </c>
      <c r="B235" s="141"/>
      <c r="C235" s="139" t="s">
        <v>1084</v>
      </c>
      <c r="D235" s="150">
        <v>180</v>
      </c>
      <c r="E235" s="139"/>
      <c r="F235" s="139"/>
    </row>
    <row r="236" spans="1:6" ht="15.5">
      <c r="A236" s="141" t="s">
        <v>1425</v>
      </c>
      <c r="B236" s="141"/>
      <c r="C236" s="139" t="s">
        <v>1363</v>
      </c>
      <c r="D236" s="150">
        <v>36</v>
      </c>
      <c r="E236" s="139"/>
      <c r="F236" s="139"/>
    </row>
    <row r="237" spans="1:6" ht="15.5">
      <c r="A237" s="141" t="s">
        <v>1428</v>
      </c>
      <c r="B237" s="141"/>
      <c r="C237" s="164" t="s">
        <v>1427</v>
      </c>
      <c r="D237" s="150">
        <v>500</v>
      </c>
      <c r="E237" s="139"/>
      <c r="F237" s="139"/>
    </row>
    <row r="238" spans="1:6" ht="15.5">
      <c r="A238" s="141" t="s">
        <v>1432</v>
      </c>
      <c r="B238" s="141"/>
      <c r="C238" s="23" t="s">
        <v>1431</v>
      </c>
      <c r="D238" s="150">
        <v>1000</v>
      </c>
      <c r="E238" s="139"/>
      <c r="F238" s="139"/>
    </row>
    <row r="239" spans="1:6" ht="15.5">
      <c r="A239" s="141" t="s">
        <v>1432</v>
      </c>
      <c r="B239" s="141"/>
      <c r="C239" s="164" t="s">
        <v>1433</v>
      </c>
      <c r="D239" s="150">
        <v>360</v>
      </c>
      <c r="E239" s="139"/>
      <c r="F239" s="139"/>
    </row>
    <row r="240" spans="1:6" ht="15.5">
      <c r="A240" s="141" t="s">
        <v>1432</v>
      </c>
      <c r="B240" s="141"/>
      <c r="C240" s="164" t="s">
        <v>1434</v>
      </c>
      <c r="D240" s="150">
        <v>500</v>
      </c>
      <c r="E240" s="139"/>
      <c r="F240" s="139"/>
    </row>
    <row r="241" spans="1:6" ht="15.5">
      <c r="A241" s="141" t="s">
        <v>1438</v>
      </c>
      <c r="B241" s="141"/>
      <c r="C241" s="164" t="s">
        <v>1028</v>
      </c>
      <c r="D241" s="150">
        <v>180</v>
      </c>
      <c r="E241" s="139"/>
      <c r="F241" s="139"/>
    </row>
    <row r="242" spans="1:6" ht="15.5">
      <c r="A242" s="141" t="s">
        <v>1442</v>
      </c>
      <c r="B242" s="141"/>
      <c r="C242" s="164" t="s">
        <v>1439</v>
      </c>
      <c r="D242" s="150">
        <v>185</v>
      </c>
      <c r="E242" s="139"/>
      <c r="F242" s="139"/>
    </row>
    <row r="243" spans="1:6" ht="15.5">
      <c r="A243" s="141" t="s">
        <v>1443</v>
      </c>
      <c r="B243" s="141"/>
      <c r="C243" s="164" t="s">
        <v>1441</v>
      </c>
      <c r="D243" s="150">
        <v>100</v>
      </c>
      <c r="E243" s="139"/>
      <c r="F243" s="139"/>
    </row>
    <row r="244" spans="1:6" ht="15.5">
      <c r="A244" s="141" t="s">
        <v>1443</v>
      </c>
      <c r="B244" s="141"/>
      <c r="C244" s="164" t="s">
        <v>1444</v>
      </c>
      <c r="D244" s="150">
        <v>1800</v>
      </c>
      <c r="E244" s="139"/>
      <c r="F244" s="139"/>
    </row>
    <row r="245" spans="1:6" ht="15.5">
      <c r="A245" s="141" t="s">
        <v>1443</v>
      </c>
      <c r="B245" s="141"/>
      <c r="C245" s="164" t="s">
        <v>1445</v>
      </c>
      <c r="D245" s="150">
        <v>180</v>
      </c>
      <c r="E245" s="139"/>
      <c r="F245" s="139"/>
    </row>
    <row r="246" spans="1:6" ht="15.5">
      <c r="A246" s="141" t="s">
        <v>1451</v>
      </c>
      <c r="B246" s="141"/>
      <c r="C246" s="164" t="s">
        <v>1450</v>
      </c>
      <c r="D246" s="150">
        <v>1600</v>
      </c>
      <c r="E246" s="139"/>
      <c r="F246" s="139"/>
    </row>
    <row r="247" spans="1:6" ht="15.5">
      <c r="A247" s="141" t="s">
        <v>1451</v>
      </c>
      <c r="B247" s="141"/>
      <c r="C247" s="164" t="s">
        <v>1454</v>
      </c>
      <c r="D247" s="150">
        <v>300</v>
      </c>
      <c r="E247" s="139"/>
      <c r="F247" s="139"/>
    </row>
    <row r="248" spans="1:6" ht="15.5">
      <c r="A248" s="141" t="s">
        <v>1455</v>
      </c>
      <c r="B248" s="141"/>
      <c r="C248" s="164" t="s">
        <v>1456</v>
      </c>
      <c r="D248" s="150">
        <v>1800</v>
      </c>
      <c r="E248" s="139"/>
      <c r="F248" s="139"/>
    </row>
    <row r="249" spans="1:6" ht="15.5">
      <c r="A249" s="141" t="s">
        <v>1455</v>
      </c>
      <c r="B249" s="141"/>
      <c r="C249" s="164" t="s">
        <v>1457</v>
      </c>
      <c r="D249" s="150">
        <v>250</v>
      </c>
      <c r="E249" s="139"/>
      <c r="F249" s="139"/>
    </row>
    <row r="250" spans="1:6" ht="15.5">
      <c r="A250" s="141" t="s">
        <v>1455</v>
      </c>
      <c r="B250" s="141"/>
      <c r="C250" s="164" t="s">
        <v>1458</v>
      </c>
      <c r="D250" s="150">
        <v>500</v>
      </c>
      <c r="E250" s="139"/>
      <c r="F250" s="139"/>
    </row>
    <row r="251" spans="1:6" ht="15.5">
      <c r="A251" s="141" t="s">
        <v>1455</v>
      </c>
      <c r="B251" s="141"/>
      <c r="C251" s="164" t="s">
        <v>1459</v>
      </c>
      <c r="D251" s="150">
        <v>5000</v>
      </c>
      <c r="E251" s="139"/>
      <c r="F251" s="139"/>
    </row>
    <row r="252" spans="1:6" ht="15.5">
      <c r="A252" s="141" t="s">
        <v>1461</v>
      </c>
      <c r="B252" s="141"/>
      <c r="C252" s="164" t="s">
        <v>1460</v>
      </c>
      <c r="D252" s="150">
        <v>350</v>
      </c>
      <c r="E252" s="139"/>
      <c r="F252" s="139"/>
    </row>
    <row r="253" spans="1:6" ht="15.5">
      <c r="A253" s="141" t="s">
        <v>1463</v>
      </c>
      <c r="B253" s="141"/>
      <c r="C253" t="s">
        <v>1466</v>
      </c>
      <c r="D253" s="150">
        <v>5000</v>
      </c>
      <c r="E253" s="139"/>
      <c r="F253" s="139"/>
    </row>
    <row r="254" spans="1:6" ht="15.5">
      <c r="A254" s="141" t="s">
        <v>1463</v>
      </c>
      <c r="B254" s="141"/>
      <c r="C254" s="164" t="s">
        <v>1465</v>
      </c>
      <c r="D254" s="150">
        <v>1000</v>
      </c>
      <c r="E254" s="139"/>
      <c r="F254" s="139"/>
    </row>
    <row r="255" spans="1:6" ht="15.5">
      <c r="A255" s="141" t="s">
        <v>1463</v>
      </c>
      <c r="B255" s="141"/>
      <c r="C255" s="164" t="s">
        <v>1467</v>
      </c>
      <c r="D255" s="150">
        <v>30</v>
      </c>
      <c r="E255" s="139"/>
      <c r="F255" s="139"/>
    </row>
    <row r="256" spans="1:6" ht="15.5">
      <c r="A256" s="141" t="s">
        <v>1463</v>
      </c>
      <c r="B256" s="141"/>
      <c r="C256" s="23" t="s">
        <v>1464</v>
      </c>
      <c r="D256" s="150">
        <v>2500</v>
      </c>
      <c r="E256" s="139"/>
      <c r="F256" s="139"/>
    </row>
    <row r="257" spans="1:6" ht="15.5">
      <c r="A257" s="141" t="s">
        <v>1472</v>
      </c>
      <c r="B257" s="141"/>
      <c r="C257" s="164" t="s">
        <v>1471</v>
      </c>
      <c r="D257" s="150">
        <v>500</v>
      </c>
      <c r="E257" s="139"/>
      <c r="F257" s="139"/>
    </row>
    <row r="258" spans="1:6" ht="15.5">
      <c r="A258" s="141" t="s">
        <v>1472</v>
      </c>
      <c r="C258" s="139" t="s">
        <v>1473</v>
      </c>
      <c r="D258" s="150">
        <v>135</v>
      </c>
      <c r="E258" s="139"/>
      <c r="F258" s="139"/>
    </row>
    <row r="259" spans="1:6" ht="15.5">
      <c r="A259" s="141" t="s">
        <v>1472</v>
      </c>
      <c r="C259" t="s">
        <v>1474</v>
      </c>
      <c r="D259" s="150">
        <v>50</v>
      </c>
      <c r="E259" s="150"/>
    </row>
    <row r="260" spans="1:6" ht="15.5">
      <c r="A260" s="141" t="s">
        <v>1470</v>
      </c>
      <c r="C260" s="164" t="s">
        <v>1476</v>
      </c>
      <c r="D260" s="150">
        <v>1500</v>
      </c>
      <c r="E260" s="150"/>
    </row>
    <row r="261" spans="1:6" ht="15.5">
      <c r="A261" s="141" t="s">
        <v>1470</v>
      </c>
      <c r="C261" s="164" t="s">
        <v>1477</v>
      </c>
      <c r="D261" s="150">
        <v>180</v>
      </c>
      <c r="E261" s="150"/>
    </row>
    <row r="262" spans="1:6" ht="15.5">
      <c r="A262" s="141" t="s">
        <v>1470</v>
      </c>
      <c r="C262" s="164" t="s">
        <v>1478</v>
      </c>
      <c r="D262" s="150">
        <v>100</v>
      </c>
      <c r="E262" s="150"/>
    </row>
    <row r="263" spans="1:6" ht="15.5">
      <c r="A263" s="141" t="s">
        <v>1470</v>
      </c>
      <c r="C263" s="164" t="s">
        <v>1479</v>
      </c>
      <c r="D263" s="150">
        <v>200</v>
      </c>
      <c r="E263" s="150"/>
    </row>
    <row r="264" spans="1:6" ht="15.5">
      <c r="A264" s="141" t="s">
        <v>1480</v>
      </c>
      <c r="C264" s="164" t="s">
        <v>1028</v>
      </c>
      <c r="D264" s="149">
        <v>300</v>
      </c>
      <c r="E264" s="150"/>
    </row>
    <row r="265" spans="1:6" ht="15.5">
      <c r="A265" s="141" t="s">
        <v>1480</v>
      </c>
      <c r="C265" s="164" t="s">
        <v>1481</v>
      </c>
      <c r="D265" s="149">
        <v>75</v>
      </c>
      <c r="E265" s="150"/>
    </row>
    <row r="266" spans="1:6" ht="15.5">
      <c r="A266" s="141" t="s">
        <v>1480</v>
      </c>
      <c r="C266" s="164" t="s">
        <v>1482</v>
      </c>
      <c r="D266" s="149">
        <v>50</v>
      </c>
      <c r="E266" s="150"/>
    </row>
    <row r="267" spans="1:6" ht="15.5">
      <c r="A267" s="141" t="s">
        <v>1480</v>
      </c>
      <c r="C267" s="164" t="s">
        <v>1483</v>
      </c>
      <c r="D267" s="149">
        <v>100</v>
      </c>
      <c r="E267" s="150"/>
    </row>
    <row r="268" spans="1:6" ht="15.5">
      <c r="A268" s="141" t="s">
        <v>1480</v>
      </c>
      <c r="C268" s="164" t="s">
        <v>1484</v>
      </c>
      <c r="D268" s="149">
        <v>1223</v>
      </c>
      <c r="E268" s="150"/>
    </row>
    <row r="269" spans="1:6" ht="15.5">
      <c r="A269" s="141" t="s">
        <v>1480</v>
      </c>
      <c r="C269" s="164" t="s">
        <v>1485</v>
      </c>
      <c r="D269" s="149">
        <v>20</v>
      </c>
      <c r="E269" s="150"/>
    </row>
    <row r="270" spans="1:6" ht="15.5">
      <c r="A270" s="141" t="s">
        <v>1480</v>
      </c>
      <c r="C270" s="164" t="s">
        <v>1486</v>
      </c>
      <c r="D270" s="149">
        <v>18</v>
      </c>
      <c r="E270" s="150"/>
    </row>
    <row r="271" spans="1:6" ht="15.5">
      <c r="A271" s="141" t="s">
        <v>1480</v>
      </c>
      <c r="C271" s="164" t="s">
        <v>1487</v>
      </c>
      <c r="D271" s="149">
        <v>360</v>
      </c>
      <c r="E271" s="150"/>
    </row>
    <row r="272" spans="1:6" ht="15.5">
      <c r="A272" s="141" t="s">
        <v>1480</v>
      </c>
      <c r="C272" s="164" t="s">
        <v>1488</v>
      </c>
      <c r="D272" s="149">
        <v>360</v>
      </c>
      <c r="E272" s="150"/>
    </row>
    <row r="273" spans="1:5" ht="15.5">
      <c r="A273" s="141" t="s">
        <v>1480</v>
      </c>
      <c r="C273" s="164" t="s">
        <v>1489</v>
      </c>
      <c r="D273" s="149">
        <v>720</v>
      </c>
      <c r="E273" s="150"/>
    </row>
    <row r="274" spans="1:5" ht="15.5">
      <c r="A274" s="141" t="s">
        <v>1491</v>
      </c>
      <c r="C274" s="164" t="s">
        <v>1490</v>
      </c>
      <c r="D274" s="150">
        <v>5000</v>
      </c>
      <c r="E274" s="150"/>
    </row>
    <row r="275" spans="1:5" ht="15.5">
      <c r="A275" s="141" t="s">
        <v>1497</v>
      </c>
      <c r="C275" s="164" t="s">
        <v>1499</v>
      </c>
      <c r="D275" s="150">
        <v>50</v>
      </c>
      <c r="E275" s="150"/>
    </row>
    <row r="276" spans="1:5" ht="15.5">
      <c r="A276" s="141" t="s">
        <v>1498</v>
      </c>
      <c r="C276" s="164" t="s">
        <v>1500</v>
      </c>
      <c r="D276" s="150">
        <v>180</v>
      </c>
      <c r="E276" s="150"/>
    </row>
    <row r="277" spans="1:5" ht="15.5">
      <c r="A277" s="141" t="s">
        <v>1506</v>
      </c>
      <c r="C277" s="164" t="s">
        <v>1507</v>
      </c>
      <c r="D277" s="150">
        <v>1000</v>
      </c>
      <c r="E277" s="150"/>
    </row>
    <row r="278" spans="1:5" ht="15.5">
      <c r="A278" s="141" t="s">
        <v>1506</v>
      </c>
      <c r="C278" s="164" t="s">
        <v>1508</v>
      </c>
      <c r="D278" s="150">
        <v>2000</v>
      </c>
      <c r="E278" s="150"/>
    </row>
    <row r="279" spans="1:5" ht="15.5">
      <c r="A279" s="141" t="s">
        <v>1506</v>
      </c>
      <c r="C279" s="164" t="s">
        <v>1509</v>
      </c>
      <c r="D279" s="150">
        <v>574.16999999999996</v>
      </c>
      <c r="E279" s="150"/>
    </row>
    <row r="280" spans="1:5" ht="15.5">
      <c r="A280" s="141" t="s">
        <v>1506</v>
      </c>
      <c r="C280" s="164" t="s">
        <v>1513</v>
      </c>
      <c r="D280" s="150">
        <v>36</v>
      </c>
      <c r="E280" s="150"/>
    </row>
    <row r="281" spans="1:5" ht="15.5">
      <c r="A281" s="141" t="s">
        <v>1506</v>
      </c>
      <c r="C281" s="164" t="s">
        <v>1512</v>
      </c>
      <c r="D281" s="150">
        <v>18</v>
      </c>
      <c r="E281" s="150"/>
    </row>
    <row r="282" spans="1:5" ht="15.5">
      <c r="A282" s="141" t="s">
        <v>1506</v>
      </c>
      <c r="C282" s="164" t="s">
        <v>1511</v>
      </c>
      <c r="D282" s="150">
        <v>100</v>
      </c>
      <c r="E282" s="150"/>
    </row>
    <row r="283" spans="1:5" ht="15.5">
      <c r="A283" s="141" t="s">
        <v>1506</v>
      </c>
      <c r="C283" s="164" t="s">
        <v>1514</v>
      </c>
      <c r="D283" s="150">
        <v>101</v>
      </c>
      <c r="E283" s="150"/>
    </row>
    <row r="284" spans="1:5" ht="15.5">
      <c r="A284" s="141" t="s">
        <v>1506</v>
      </c>
      <c r="C284" s="178" t="s">
        <v>1515</v>
      </c>
      <c r="D284" s="150">
        <v>100</v>
      </c>
      <c r="E284" s="150"/>
    </row>
    <row r="285" spans="1:5" ht="15.5">
      <c r="A285" s="141" t="s">
        <v>1506</v>
      </c>
      <c r="C285" s="164" t="s">
        <v>1516</v>
      </c>
      <c r="D285" s="150">
        <v>180</v>
      </c>
      <c r="E285" s="150"/>
    </row>
    <row r="286" spans="1:5">
      <c r="A286" s="141" t="s">
        <v>1518</v>
      </c>
      <c r="C286" s="164" t="s">
        <v>1519</v>
      </c>
      <c r="D286" s="135">
        <v>360</v>
      </c>
    </row>
    <row r="287" spans="1:5">
      <c r="A287" s="141" t="s">
        <v>1520</v>
      </c>
      <c r="C287" s="164" t="s">
        <v>960</v>
      </c>
      <c r="D287" s="135">
        <v>3500</v>
      </c>
    </row>
    <row r="288" spans="1:5">
      <c r="A288" s="141" t="s">
        <v>1520</v>
      </c>
      <c r="C288" s="164" t="s">
        <v>660</v>
      </c>
      <c r="D288" s="135">
        <v>80</v>
      </c>
    </row>
    <row r="289" spans="1:4">
      <c r="A289" s="141" t="s">
        <v>1521</v>
      </c>
      <c r="C289" t="s">
        <v>1522</v>
      </c>
      <c r="D289" s="135">
        <v>750</v>
      </c>
    </row>
    <row r="290" spans="1:4">
      <c r="A290" s="141" t="s">
        <v>1525</v>
      </c>
      <c r="C290" s="164" t="s">
        <v>660</v>
      </c>
      <c r="D290" s="135">
        <v>70</v>
      </c>
    </row>
    <row r="291" spans="1:4">
      <c r="A291" s="141" t="s">
        <v>1525</v>
      </c>
      <c r="C291" s="164" t="s">
        <v>1526</v>
      </c>
      <c r="D291" s="135">
        <v>180</v>
      </c>
    </row>
    <row r="292" spans="1:4">
      <c r="A292" s="141" t="s">
        <v>1525</v>
      </c>
      <c r="C292" s="164" t="s">
        <v>1527</v>
      </c>
      <c r="D292" s="135">
        <v>18</v>
      </c>
    </row>
    <row r="293" spans="1:4">
      <c r="A293" s="141" t="s">
        <v>1525</v>
      </c>
      <c r="C293" s="164" t="s">
        <v>1528</v>
      </c>
      <c r="D293" s="135">
        <v>20</v>
      </c>
    </row>
    <row r="294" spans="1:4">
      <c r="A294" s="141" t="s">
        <v>1530</v>
      </c>
      <c r="C294" s="164" t="s">
        <v>1531</v>
      </c>
      <c r="D294" s="135">
        <v>250</v>
      </c>
    </row>
    <row r="295" spans="1:4">
      <c r="A295" s="141" t="s">
        <v>1534</v>
      </c>
      <c r="C295" t="s">
        <v>1533</v>
      </c>
      <c r="D295" s="135">
        <v>180</v>
      </c>
    </row>
    <row r="296" spans="1:4" ht="15.5">
      <c r="A296" s="141" t="s">
        <v>1547</v>
      </c>
      <c r="C296" s="23" t="s">
        <v>1464</v>
      </c>
      <c r="D296" s="150">
        <v>2500</v>
      </c>
    </row>
    <row r="297" spans="1:4" ht="15.5">
      <c r="A297" s="141"/>
      <c r="C297" s="144" t="s">
        <v>1560</v>
      </c>
      <c r="D297" s="149">
        <v>50</v>
      </c>
    </row>
    <row r="298" spans="1:4" ht="15.5">
      <c r="A298" s="141"/>
      <c r="C298" s="144" t="s">
        <v>1561</v>
      </c>
      <c r="D298" s="149">
        <v>100</v>
      </c>
    </row>
    <row r="299" spans="1:4" ht="15.5">
      <c r="A299" s="141"/>
      <c r="C299" s="144" t="s">
        <v>1562</v>
      </c>
      <c r="D299" s="149">
        <v>100</v>
      </c>
    </row>
    <row r="300" spans="1:4" ht="15.5">
      <c r="A300" s="141"/>
      <c r="C300" s="144" t="s">
        <v>1563</v>
      </c>
      <c r="D300" s="149">
        <v>100</v>
      </c>
    </row>
    <row r="301" spans="1:4" ht="15.5">
      <c r="A301" s="141"/>
      <c r="C301" s="144" t="s">
        <v>1564</v>
      </c>
      <c r="D301" s="149">
        <v>55</v>
      </c>
    </row>
    <row r="302" spans="1:4" ht="15.5">
      <c r="A302" s="141"/>
      <c r="C302" s="144" t="s">
        <v>1565</v>
      </c>
      <c r="D302" s="149">
        <v>50</v>
      </c>
    </row>
    <row r="303" spans="1:4" ht="15.5">
      <c r="A303" s="141"/>
      <c r="C303" s="144" t="s">
        <v>1566</v>
      </c>
      <c r="D303" s="149">
        <v>50</v>
      </c>
    </row>
    <row r="304" spans="1:4" ht="15.5">
      <c r="A304" s="141"/>
      <c r="C304" s="144" t="s">
        <v>1567</v>
      </c>
      <c r="D304" s="149">
        <v>100</v>
      </c>
    </row>
    <row r="305" spans="1:13" ht="15.5">
      <c r="A305" s="141"/>
      <c r="C305" t="s">
        <v>460</v>
      </c>
      <c r="D305" s="149">
        <v>500</v>
      </c>
    </row>
    <row r="306" spans="1:13" ht="15.5">
      <c r="A306" s="141"/>
      <c r="D306" s="149"/>
    </row>
    <row r="307" spans="1:13">
      <c r="A307" s="141"/>
    </row>
    <row r="308" spans="1:13" ht="15.5">
      <c r="C308" t="s">
        <v>90</v>
      </c>
      <c r="D308" s="135">
        <f>SUM(D2:D307)</f>
        <v>303777.82</v>
      </c>
      <c r="H308" s="135">
        <f>SUM(H2:H80)</f>
        <v>255375</v>
      </c>
      <c r="J308">
        <v>1</v>
      </c>
      <c r="K308">
        <v>360</v>
      </c>
      <c r="M308" s="146" t="s">
        <v>966</v>
      </c>
    </row>
    <row r="309" spans="1:13" ht="15.5">
      <c r="J309">
        <v>4</v>
      </c>
      <c r="K309">
        <v>1000</v>
      </c>
      <c r="L309" t="s">
        <v>1085</v>
      </c>
      <c r="M309" s="23" t="s">
        <v>977</v>
      </c>
    </row>
    <row r="310" spans="1:13" ht="15.5">
      <c r="C310" s="23"/>
      <c r="F310" t="s">
        <v>90</v>
      </c>
      <c r="G310" s="136">
        <f>D308-H308-D2-D3-D7-D9-D17-D26-D27-D28-D29</f>
        <v>25799.820000000007</v>
      </c>
      <c r="J310">
        <v>5</v>
      </c>
      <c r="K310">
        <v>1000</v>
      </c>
      <c r="M310" t="s">
        <v>1002</v>
      </c>
    </row>
    <row r="311" spans="1:13">
      <c r="C311" s="135"/>
      <c r="J311">
        <v>17</v>
      </c>
      <c r="K311">
        <v>600</v>
      </c>
      <c r="L311" t="s">
        <v>1073</v>
      </c>
      <c r="M311" s="7" t="s">
        <v>1003</v>
      </c>
    </row>
    <row r="312" spans="1:13" ht="15.5">
      <c r="G312" s="135"/>
      <c r="J312">
        <v>18</v>
      </c>
      <c r="K312">
        <v>1800</v>
      </c>
      <c r="M312" s="146" t="s">
        <v>1004</v>
      </c>
    </row>
    <row r="313" spans="1:13" ht="15.5">
      <c r="F313" t="s">
        <v>401</v>
      </c>
      <c r="G313" s="135"/>
      <c r="J313">
        <v>19</v>
      </c>
      <c r="K313">
        <v>5000</v>
      </c>
      <c r="M313" s="117" t="s">
        <v>1036</v>
      </c>
    </row>
    <row r="314" spans="1:13" ht="15.5">
      <c r="G314" s="135"/>
      <c r="H314"/>
      <c r="J314">
        <v>21</v>
      </c>
      <c r="K314">
        <v>360</v>
      </c>
      <c r="L314" t="s">
        <v>1072</v>
      </c>
      <c r="M314" s="23" t="s">
        <v>1075</v>
      </c>
    </row>
    <row r="315" spans="1:13" ht="15.5">
      <c r="G315" s="135"/>
      <c r="J315">
        <v>22</v>
      </c>
      <c r="K315">
        <v>500</v>
      </c>
      <c r="M315" s="23" t="s">
        <v>1049</v>
      </c>
    </row>
    <row r="316" spans="1:13">
      <c r="E316"/>
    </row>
    <row r="317" spans="1:13">
      <c r="L317" t="s">
        <v>1086</v>
      </c>
    </row>
    <row r="319" spans="1:13">
      <c r="K319" s="109">
        <v>10260</v>
      </c>
    </row>
  </sheetData>
  <sortState xmlns:xlrd2="http://schemas.microsoft.com/office/spreadsheetml/2017/richdata2" ref="A4:D47">
    <sortCondition ref="A4"/>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5AD64-EB82-47BF-8FEE-716E56B15071}">
  <dimension ref="A1:J29"/>
  <sheetViews>
    <sheetView topLeftCell="A25" workbookViewId="0">
      <selection activeCell="J29" sqref="J29"/>
    </sheetView>
  </sheetViews>
  <sheetFormatPr defaultRowHeight="14.5"/>
  <cols>
    <col min="1" max="1" width="30.6328125" customWidth="1"/>
    <col min="2" max="7" width="8.81640625" style="2"/>
    <col min="8" max="8" width="11.7265625" customWidth="1"/>
  </cols>
  <sheetData>
    <row r="1" spans="1:10" ht="15.5">
      <c r="A1" s="217" t="s">
        <v>1747</v>
      </c>
      <c r="B1" s="2" t="s">
        <v>1729</v>
      </c>
      <c r="C1" s="2" t="s">
        <v>1730</v>
      </c>
      <c r="D1" s="2" t="s">
        <v>1731</v>
      </c>
      <c r="E1" s="2" t="s">
        <v>1732</v>
      </c>
      <c r="F1" s="2" t="s">
        <v>1733</v>
      </c>
      <c r="G1" s="2" t="s">
        <v>1734</v>
      </c>
      <c r="H1" s="215" t="s">
        <v>1833</v>
      </c>
    </row>
    <row r="2" spans="1:10" ht="15.5">
      <c r="A2" s="196" t="s">
        <v>1738</v>
      </c>
      <c r="H2" s="215" t="s">
        <v>1834</v>
      </c>
    </row>
    <row r="3" spans="1:10" ht="15.5">
      <c r="A3" s="198" t="s">
        <v>1746</v>
      </c>
    </row>
    <row r="4" spans="1:10" ht="15.5">
      <c r="A4" s="196" t="s">
        <v>842</v>
      </c>
      <c r="B4" s="202"/>
    </row>
    <row r="5" spans="1:10" ht="15">
      <c r="A5" s="196" t="s">
        <v>1752</v>
      </c>
    </row>
    <row r="6" spans="1:10" ht="15.5">
      <c r="A6" s="148" t="s">
        <v>350</v>
      </c>
      <c r="D6" s="201"/>
    </row>
    <row r="7" spans="1:10" ht="15">
      <c r="A7" s="196" t="s">
        <v>2</v>
      </c>
    </row>
    <row r="8" spans="1:10" ht="15.5">
      <c r="A8" s="196" t="s">
        <v>1793</v>
      </c>
      <c r="B8" s="203" t="s">
        <v>1754</v>
      </c>
      <c r="C8" s="203" t="s">
        <v>1754</v>
      </c>
      <c r="D8" s="203" t="s">
        <v>1754</v>
      </c>
      <c r="E8" s="203" t="s">
        <v>1754</v>
      </c>
      <c r="F8" s="203" t="s">
        <v>1754</v>
      </c>
      <c r="G8" s="203" t="s">
        <v>1754</v>
      </c>
      <c r="H8" s="216" t="s">
        <v>1754</v>
      </c>
      <c r="I8" s="202" t="s">
        <v>1835</v>
      </c>
      <c r="J8" s="73">
        <v>350</v>
      </c>
    </row>
    <row r="9" spans="1:10" ht="15">
      <c r="A9" s="196" t="s">
        <v>1570</v>
      </c>
    </row>
    <row r="10" spans="1:10" ht="15">
      <c r="A10" s="196" t="s">
        <v>6</v>
      </c>
    </row>
    <row r="11" spans="1:10" ht="18" customHeight="1">
      <c r="A11" s="196" t="s">
        <v>1</v>
      </c>
    </row>
    <row r="12" spans="1:10" ht="15">
      <c r="A12" s="196" t="s">
        <v>1739</v>
      </c>
    </row>
    <row r="13" spans="1:10" ht="15.5">
      <c r="A13" s="148" t="s">
        <v>1755</v>
      </c>
    </row>
    <row r="14" spans="1:10" ht="15.5">
      <c r="A14" s="148" t="s">
        <v>292</v>
      </c>
    </row>
    <row r="15" spans="1:10" ht="15.5">
      <c r="A15" s="197" t="s">
        <v>1319</v>
      </c>
      <c r="B15" s="203" t="s">
        <v>1754</v>
      </c>
      <c r="C15" s="203" t="s">
        <v>1754</v>
      </c>
      <c r="J15" s="73">
        <v>50</v>
      </c>
    </row>
    <row r="16" spans="1:10" ht="15.5">
      <c r="A16" s="148" t="s">
        <v>1745</v>
      </c>
      <c r="B16" s="203" t="s">
        <v>1754</v>
      </c>
      <c r="J16" s="73">
        <v>25</v>
      </c>
    </row>
    <row r="17" spans="1:10" ht="15.5">
      <c r="A17" s="148" t="s">
        <v>1740</v>
      </c>
    </row>
    <row r="18" spans="1:10" ht="15.5">
      <c r="A18" s="148" t="s">
        <v>1741</v>
      </c>
      <c r="B18" s="203" t="s">
        <v>1754</v>
      </c>
      <c r="C18" s="203" t="s">
        <v>1754</v>
      </c>
      <c r="D18" s="203" t="s">
        <v>1754</v>
      </c>
      <c r="J18" s="73">
        <v>75</v>
      </c>
    </row>
    <row r="19" spans="1:10" ht="15.5">
      <c r="A19" s="148" t="s">
        <v>1742</v>
      </c>
    </row>
    <row r="20" spans="1:10" ht="15.5">
      <c r="A20" s="148" t="s">
        <v>1743</v>
      </c>
    </row>
    <row r="21" spans="1:10" ht="15.5">
      <c r="A21" s="148" t="s">
        <v>1643</v>
      </c>
    </row>
    <row r="22" spans="1:10" ht="15.5">
      <c r="A22" s="148" t="s">
        <v>12</v>
      </c>
    </row>
    <row r="23" spans="1:10" ht="15.5">
      <c r="A23" s="148" t="s">
        <v>1744</v>
      </c>
      <c r="B23" s="203" t="s">
        <v>1754</v>
      </c>
      <c r="J23" s="73">
        <v>25</v>
      </c>
    </row>
    <row r="24" spans="1:10" ht="15.5">
      <c r="A24" s="148" t="s">
        <v>1753</v>
      </c>
      <c r="B24" s="203" t="s">
        <v>1754</v>
      </c>
      <c r="J24" s="73">
        <v>25</v>
      </c>
    </row>
    <row r="25" spans="1:10" ht="15.5">
      <c r="A25" s="148" t="s">
        <v>423</v>
      </c>
    </row>
    <row r="26" spans="1:10" ht="15.5">
      <c r="A26" s="148"/>
    </row>
    <row r="27" spans="1:10">
      <c r="I27" t="s">
        <v>1276</v>
      </c>
      <c r="J27" s="73">
        <f>SUM(J3:J25)</f>
        <v>550</v>
      </c>
    </row>
    <row r="28" spans="1:10">
      <c r="I28" t="s">
        <v>441</v>
      </c>
      <c r="J28" s="73">
        <f>400+150</f>
        <v>550</v>
      </c>
    </row>
    <row r="29" spans="1:10">
      <c r="I29" t="s">
        <v>1276</v>
      </c>
      <c r="J29" s="73">
        <f>J27-J28</f>
        <v>0</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CB5E9-4896-42CC-87AE-8EA7D60D7B60}">
  <dimension ref="A1:J21"/>
  <sheetViews>
    <sheetView topLeftCell="A4" workbookViewId="0">
      <selection activeCell="G13" sqref="G13"/>
    </sheetView>
  </sheetViews>
  <sheetFormatPr defaultRowHeight="14.5"/>
  <cols>
    <col min="1" max="1" width="15.08984375" customWidth="1"/>
    <col min="6" max="6" width="18.453125" customWidth="1"/>
    <col min="7" max="8" width="11.90625" customWidth="1"/>
  </cols>
  <sheetData>
    <row r="1" spans="1:10">
      <c r="A1" s="7" t="s">
        <v>766</v>
      </c>
      <c r="B1">
        <f>139.92+30.36</f>
        <v>170.27999999999997</v>
      </c>
      <c r="F1" t="s">
        <v>1603</v>
      </c>
      <c r="G1" s="211">
        <v>3225.75</v>
      </c>
      <c r="H1" t="s">
        <v>1604</v>
      </c>
    </row>
    <row r="2" spans="1:10">
      <c r="A2" s="7" t="s">
        <v>774</v>
      </c>
      <c r="B2">
        <v>630</v>
      </c>
      <c r="F2" t="s">
        <v>871</v>
      </c>
      <c r="G2">
        <v>482.91</v>
      </c>
      <c r="H2" t="s">
        <v>1812</v>
      </c>
    </row>
    <row r="3" spans="1:10">
      <c r="A3" s="7" t="s">
        <v>774</v>
      </c>
      <c r="B3">
        <v>620</v>
      </c>
      <c r="F3" t="s">
        <v>1937</v>
      </c>
      <c r="G3">
        <v>313.29000000000002</v>
      </c>
      <c r="H3" t="s">
        <v>1936</v>
      </c>
    </row>
    <row r="4" spans="1:10">
      <c r="A4" s="7" t="s">
        <v>1799</v>
      </c>
      <c r="B4">
        <v>30.36</v>
      </c>
      <c r="F4" t="s">
        <v>1817</v>
      </c>
      <c r="G4" s="211">
        <v>1600.3</v>
      </c>
      <c r="H4" s="73" t="s">
        <v>1818</v>
      </c>
    </row>
    <row r="5" spans="1:10">
      <c r="A5" s="7" t="s">
        <v>774</v>
      </c>
      <c r="B5">
        <v>120</v>
      </c>
      <c r="F5" t="s">
        <v>1850</v>
      </c>
      <c r="G5">
        <v>100</v>
      </c>
    </row>
    <row r="6" spans="1:10">
      <c r="A6" s="7" t="s">
        <v>774</v>
      </c>
      <c r="B6">
        <v>110</v>
      </c>
      <c r="F6" t="s">
        <v>1904</v>
      </c>
      <c r="G6" s="211">
        <v>1514.44</v>
      </c>
      <c r="H6" t="s">
        <v>1900</v>
      </c>
    </row>
    <row r="7" spans="1:10">
      <c r="A7" s="7" t="s">
        <v>1814</v>
      </c>
      <c r="B7">
        <v>16.28</v>
      </c>
      <c r="F7" t="s">
        <v>1903</v>
      </c>
      <c r="G7" s="211">
        <v>4736.79</v>
      </c>
      <c r="H7" s="73">
        <v>1500</v>
      </c>
    </row>
    <row r="8" spans="1:10">
      <c r="A8" s="7" t="s">
        <v>1844</v>
      </c>
      <c r="B8">
        <v>50</v>
      </c>
      <c r="F8" t="s">
        <v>1904</v>
      </c>
      <c r="G8" s="211">
        <v>751.54</v>
      </c>
      <c r="H8" t="s">
        <v>1916</v>
      </c>
    </row>
    <row r="9" spans="1:10">
      <c r="A9" t="s">
        <v>1849</v>
      </c>
      <c r="B9">
        <v>6000</v>
      </c>
      <c r="F9" t="s">
        <v>1883</v>
      </c>
      <c r="G9" s="211">
        <v>200</v>
      </c>
      <c r="H9" t="s">
        <v>1938</v>
      </c>
    </row>
    <row r="10" spans="1:10">
      <c r="A10" t="s">
        <v>1924</v>
      </c>
      <c r="B10">
        <v>18000</v>
      </c>
      <c r="F10" t="s">
        <v>1919</v>
      </c>
      <c r="G10" s="211">
        <v>1153.0899999999999</v>
      </c>
      <c r="H10" s="73">
        <v>360</v>
      </c>
    </row>
    <row r="11" spans="1:10">
      <c r="A11" s="7" t="s">
        <v>1940</v>
      </c>
      <c r="B11" s="211">
        <v>1575.31</v>
      </c>
      <c r="F11" t="s">
        <v>1923</v>
      </c>
      <c r="G11" s="211">
        <v>2405.9</v>
      </c>
      <c r="H11" s="73">
        <v>750</v>
      </c>
    </row>
    <row r="12" spans="1:10">
      <c r="A12" s="7"/>
      <c r="F12" t="s">
        <v>1941</v>
      </c>
      <c r="G12" s="211">
        <f>600+500+300+1000+300+300+100+200+400+300+100+400+200+170+200+240+150+100+100+100</f>
        <v>5760</v>
      </c>
    </row>
    <row r="13" spans="1:10">
      <c r="A13" s="7"/>
      <c r="F13" t="s">
        <v>1904</v>
      </c>
      <c r="G13" s="211">
        <v>776.41</v>
      </c>
      <c r="H13" t="s">
        <v>1916</v>
      </c>
    </row>
    <row r="14" spans="1:10">
      <c r="F14" t="s">
        <v>1904</v>
      </c>
      <c r="G14" s="211">
        <v>472.51</v>
      </c>
      <c r="H14" t="s">
        <v>1935</v>
      </c>
    </row>
    <row r="15" spans="1:10">
      <c r="F15" t="s">
        <v>1904</v>
      </c>
      <c r="G15" s="211">
        <v>1133.7</v>
      </c>
      <c r="H15" t="s">
        <v>1951</v>
      </c>
    </row>
    <row r="16" spans="1:10">
      <c r="F16" t="s">
        <v>523</v>
      </c>
      <c r="G16" s="211">
        <v>1000</v>
      </c>
      <c r="H16" s="73"/>
      <c r="J16" s="234" t="s">
        <v>1899</v>
      </c>
    </row>
    <row r="17" spans="1:10">
      <c r="F17" s="11" t="s">
        <v>1934</v>
      </c>
      <c r="G17">
        <v>642.66</v>
      </c>
      <c r="H17" s="73">
        <v>200</v>
      </c>
      <c r="J17" s="11" t="s">
        <v>1925</v>
      </c>
    </row>
    <row r="18" spans="1:10">
      <c r="F18" t="s">
        <v>1939</v>
      </c>
      <c r="G18">
        <f>128.6+160.75+127.71+160.18+4731.39+100+242.37+950.28+234.37</f>
        <v>6835.65</v>
      </c>
    </row>
    <row r="20" spans="1:10">
      <c r="A20" t="s">
        <v>90</v>
      </c>
      <c r="B20">
        <f>SUM(B1:B19)</f>
        <v>27322.23</v>
      </c>
      <c r="F20" t="s">
        <v>90</v>
      </c>
      <c r="G20">
        <f>SUM(G1:G19)</f>
        <v>33104.94</v>
      </c>
    </row>
    <row r="21" spans="1:10">
      <c r="D21" s="11" t="s">
        <v>1295</v>
      </c>
      <c r="E21" s="11">
        <f>G20-B20</f>
        <v>5782.7100000000028</v>
      </c>
    </row>
  </sheetData>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187"/>
  <sheetViews>
    <sheetView topLeftCell="A167" workbookViewId="0">
      <selection activeCell="G176" sqref="G176"/>
    </sheetView>
  </sheetViews>
  <sheetFormatPr defaultRowHeight="14.5"/>
  <cols>
    <col min="1" max="1" width="16.6328125" customWidth="1"/>
    <col min="8" max="8" width="19.90625" customWidth="1"/>
    <col min="15" max="15" width="18.36328125" customWidth="1"/>
    <col min="22" max="22" width="21.26953125" customWidth="1"/>
    <col min="23" max="23" width="7" customWidth="1"/>
    <col min="24" max="24" width="7.08984375" customWidth="1"/>
    <col min="25" max="25" width="13.08984375" customWidth="1"/>
  </cols>
  <sheetData>
    <row r="1" spans="1:30">
      <c r="C1" t="s">
        <v>641</v>
      </c>
      <c r="K1" s="19" t="s">
        <v>580</v>
      </c>
      <c r="Q1" t="s">
        <v>194</v>
      </c>
      <c r="W1" t="s">
        <v>193</v>
      </c>
      <c r="X1" t="s">
        <v>192</v>
      </c>
    </row>
    <row r="2" spans="1:30">
      <c r="B2" t="s">
        <v>26</v>
      </c>
      <c r="C2" t="s">
        <v>27</v>
      </c>
      <c r="D2" t="s">
        <v>28</v>
      </c>
      <c r="E2" t="s">
        <v>29</v>
      </c>
      <c r="I2" t="s">
        <v>26</v>
      </c>
      <c r="J2" t="s">
        <v>27</v>
      </c>
      <c r="K2" t="s">
        <v>28</v>
      </c>
      <c r="L2" t="s">
        <v>29</v>
      </c>
      <c r="P2" t="s">
        <v>26</v>
      </c>
      <c r="Q2" t="s">
        <v>27</v>
      </c>
      <c r="R2" t="s">
        <v>28</v>
      </c>
      <c r="S2" t="s">
        <v>29</v>
      </c>
      <c r="W2" t="s">
        <v>26</v>
      </c>
      <c r="X2" t="s">
        <v>27</v>
      </c>
      <c r="Y2" t="s">
        <v>28</v>
      </c>
      <c r="Z2" t="s">
        <v>29</v>
      </c>
    </row>
    <row r="3" spans="1:30">
      <c r="B3">
        <v>1</v>
      </c>
      <c r="C3">
        <f>707+391</f>
        <v>1098</v>
      </c>
      <c r="D3">
        <v>0.11</v>
      </c>
      <c r="E3">
        <f>D3*C3*B3+54</f>
        <v>174.78</v>
      </c>
      <c r="F3" t="s">
        <v>22</v>
      </c>
      <c r="G3" s="109">
        <f>4000+550+100+150+50+1.5+50+9+25</f>
        <v>4935.5</v>
      </c>
      <c r="H3" t="s">
        <v>356</v>
      </c>
      <c r="I3">
        <v>20</v>
      </c>
      <c r="J3">
        <v>20</v>
      </c>
      <c r="K3">
        <v>0.11</v>
      </c>
      <c r="L3">
        <f>K3*J3*I3</f>
        <v>44</v>
      </c>
      <c r="M3" t="s">
        <v>22</v>
      </c>
      <c r="N3">
        <f>-S94+580+51+200+150+20+50+1.3+8+88+38</f>
        <v>2886.79</v>
      </c>
      <c r="O3" t="s">
        <v>209</v>
      </c>
      <c r="P3">
        <v>1</v>
      </c>
      <c r="Q3">
        <v>50</v>
      </c>
      <c r="R3">
        <v>0.11</v>
      </c>
      <c r="S3">
        <f t="shared" ref="S3:S14" si="0">R3*Q3*P3</f>
        <v>5.5</v>
      </c>
      <c r="T3" t="s">
        <v>22</v>
      </c>
      <c r="U3">
        <f>800*3.6+135+70+20*3.6+32+130+14+8.2+19.1+131+16+15+47+55+30+10+24</f>
        <v>3688.2999999999997</v>
      </c>
      <c r="V3" t="s">
        <v>20</v>
      </c>
      <c r="W3">
        <v>25</v>
      </c>
      <c r="X3">
        <v>40</v>
      </c>
      <c r="Y3">
        <v>0.13</v>
      </c>
      <c r="Z3">
        <f t="shared" ref="Z3:Z34" si="1">Y3*X3*W3</f>
        <v>130</v>
      </c>
      <c r="AC3" t="s">
        <v>22</v>
      </c>
      <c r="AD3">
        <f>165+15+5+43+15+50+20+20+15+20+20+50+40+20+270+25+45+30+95+15+20+60+15+15+15+930</f>
        <v>2033</v>
      </c>
    </row>
    <row r="4" spans="1:30">
      <c r="A4" t="s">
        <v>656</v>
      </c>
      <c r="B4">
        <v>1</v>
      </c>
      <c r="C4">
        <v>20</v>
      </c>
      <c r="D4">
        <v>0.11</v>
      </c>
      <c r="E4">
        <f t="shared" ref="E4:E34" si="2">D4*C4*B4</f>
        <v>2.2000000000000002</v>
      </c>
      <c r="H4" t="s">
        <v>357</v>
      </c>
      <c r="I4">
        <v>1</v>
      </c>
      <c r="J4">
        <v>27</v>
      </c>
      <c r="K4">
        <v>0.11</v>
      </c>
      <c r="L4">
        <f>K4*J4*I4</f>
        <v>2.97</v>
      </c>
      <c r="O4" t="s">
        <v>210</v>
      </c>
      <c r="P4">
        <v>15</v>
      </c>
      <c r="Q4">
        <v>16</v>
      </c>
      <c r="R4">
        <v>0.11</v>
      </c>
      <c r="S4">
        <f t="shared" si="0"/>
        <v>26.4</v>
      </c>
      <c r="V4" t="s">
        <v>21</v>
      </c>
      <c r="W4">
        <v>25</v>
      </c>
      <c r="X4">
        <v>20</v>
      </c>
      <c r="Y4">
        <v>0.13</v>
      </c>
      <c r="Z4">
        <f t="shared" si="1"/>
        <v>65</v>
      </c>
    </row>
    <row r="5" spans="1:30">
      <c r="A5" t="s">
        <v>655</v>
      </c>
      <c r="B5">
        <v>2</v>
      </c>
      <c r="C5">
        <v>116</v>
      </c>
      <c r="D5">
        <v>0.11</v>
      </c>
      <c r="E5">
        <f t="shared" si="2"/>
        <v>25.52</v>
      </c>
      <c r="H5" t="s">
        <v>358</v>
      </c>
      <c r="I5">
        <v>1</v>
      </c>
      <c r="J5">
        <v>156</v>
      </c>
      <c r="K5">
        <v>0.11</v>
      </c>
      <c r="L5">
        <f>K5*J5*I5</f>
        <v>17.16</v>
      </c>
      <c r="O5" t="s">
        <v>211</v>
      </c>
      <c r="P5">
        <v>20</v>
      </c>
      <c r="Q5">
        <v>40</v>
      </c>
      <c r="R5">
        <v>0.11</v>
      </c>
      <c r="S5">
        <f t="shared" si="0"/>
        <v>88</v>
      </c>
      <c r="V5" t="s">
        <v>23</v>
      </c>
      <c r="W5">
        <v>15</v>
      </c>
      <c r="X5">
        <v>24</v>
      </c>
      <c r="Y5">
        <v>0.12</v>
      </c>
      <c r="Z5">
        <f t="shared" si="1"/>
        <v>43.199999999999996</v>
      </c>
    </row>
    <row r="6" spans="1:30">
      <c r="A6" t="s">
        <v>653</v>
      </c>
      <c r="B6">
        <v>2</v>
      </c>
      <c r="C6">
        <v>24</v>
      </c>
      <c r="D6">
        <v>0.11</v>
      </c>
      <c r="E6">
        <f t="shared" si="2"/>
        <v>5.28</v>
      </c>
      <c r="H6" t="s">
        <v>356</v>
      </c>
      <c r="I6">
        <v>5</v>
      </c>
      <c r="J6">
        <v>24</v>
      </c>
      <c r="K6">
        <v>0.11</v>
      </c>
      <c r="L6">
        <f t="shared" ref="L6:L29" si="3">K6*J6*I6</f>
        <v>13.200000000000001</v>
      </c>
      <c r="O6" t="s">
        <v>212</v>
      </c>
      <c r="P6">
        <v>1</v>
      </c>
      <c r="Q6">
        <v>8</v>
      </c>
      <c r="R6">
        <v>0.11</v>
      </c>
      <c r="S6">
        <f t="shared" si="0"/>
        <v>0.88</v>
      </c>
      <c r="V6" t="s">
        <v>24</v>
      </c>
      <c r="W6">
        <v>15</v>
      </c>
      <c r="X6">
        <v>32</v>
      </c>
      <c r="Y6">
        <v>0.12</v>
      </c>
      <c r="Z6">
        <f t="shared" si="1"/>
        <v>57.599999999999994</v>
      </c>
    </row>
    <row r="7" spans="1:30">
      <c r="A7" t="s">
        <v>654</v>
      </c>
      <c r="B7">
        <v>4</v>
      </c>
      <c r="C7">
        <v>13</v>
      </c>
      <c r="D7">
        <v>0.11</v>
      </c>
      <c r="E7">
        <f t="shared" si="2"/>
        <v>5.72</v>
      </c>
      <c r="H7" t="s">
        <v>359</v>
      </c>
      <c r="I7">
        <v>25</v>
      </c>
      <c r="J7">
        <v>16</v>
      </c>
      <c r="K7">
        <v>0.11</v>
      </c>
      <c r="L7">
        <f t="shared" si="3"/>
        <v>44</v>
      </c>
      <c r="O7" t="s">
        <v>163</v>
      </c>
      <c r="P7">
        <v>1</v>
      </c>
      <c r="Q7">
        <v>20</v>
      </c>
      <c r="R7">
        <v>0.11</v>
      </c>
      <c r="S7">
        <f t="shared" si="0"/>
        <v>2.2000000000000002</v>
      </c>
      <c r="V7" t="s">
        <v>25</v>
      </c>
      <c r="W7">
        <v>25</v>
      </c>
      <c r="X7">
        <v>20</v>
      </c>
      <c r="Y7">
        <v>0.12</v>
      </c>
      <c r="Z7">
        <f t="shared" si="1"/>
        <v>60</v>
      </c>
    </row>
    <row r="8" spans="1:30">
      <c r="A8" t="s">
        <v>657</v>
      </c>
      <c r="B8">
        <v>25</v>
      </c>
      <c r="C8">
        <v>16</v>
      </c>
      <c r="D8">
        <v>0.11</v>
      </c>
      <c r="E8">
        <f t="shared" si="2"/>
        <v>44</v>
      </c>
      <c r="H8" t="s">
        <v>360</v>
      </c>
      <c r="I8">
        <v>25</v>
      </c>
      <c r="J8">
        <v>16</v>
      </c>
      <c r="K8">
        <v>0.11</v>
      </c>
      <c r="L8">
        <f t="shared" si="3"/>
        <v>44</v>
      </c>
      <c r="O8" t="s">
        <v>183</v>
      </c>
      <c r="P8">
        <v>1</v>
      </c>
      <c r="Q8">
        <v>20</v>
      </c>
      <c r="R8">
        <v>0.11</v>
      </c>
      <c r="S8">
        <f t="shared" si="0"/>
        <v>2.2000000000000002</v>
      </c>
      <c r="V8" t="s">
        <v>33</v>
      </c>
      <c r="W8">
        <v>25</v>
      </c>
      <c r="X8">
        <v>20</v>
      </c>
      <c r="Y8">
        <v>0.12</v>
      </c>
      <c r="Z8">
        <f t="shared" si="1"/>
        <v>60</v>
      </c>
    </row>
    <row r="9" spans="1:30">
      <c r="A9" t="s">
        <v>659</v>
      </c>
      <c r="B9">
        <v>26</v>
      </c>
      <c r="C9">
        <v>20</v>
      </c>
      <c r="D9">
        <v>0.11</v>
      </c>
      <c r="E9">
        <f t="shared" si="2"/>
        <v>57.2</v>
      </c>
      <c r="H9" t="s">
        <v>361</v>
      </c>
      <c r="I9">
        <v>25</v>
      </c>
      <c r="J9">
        <v>20</v>
      </c>
      <c r="K9">
        <v>0.11</v>
      </c>
      <c r="L9">
        <f t="shared" si="3"/>
        <v>55.000000000000007</v>
      </c>
      <c r="O9" t="s">
        <v>93</v>
      </c>
      <c r="P9">
        <v>1</v>
      </c>
      <c r="Q9">
        <v>523</v>
      </c>
      <c r="R9">
        <v>0.11</v>
      </c>
      <c r="S9">
        <f>R9*Q9*P9+18</f>
        <v>75.53</v>
      </c>
      <c r="V9" t="s">
        <v>31</v>
      </c>
      <c r="W9">
        <v>20</v>
      </c>
      <c r="X9">
        <v>8</v>
      </c>
      <c r="Y9">
        <v>0.12</v>
      </c>
      <c r="Z9">
        <f t="shared" si="1"/>
        <v>19.2</v>
      </c>
    </row>
    <row r="10" spans="1:30">
      <c r="A10" t="s">
        <v>667</v>
      </c>
      <c r="B10">
        <v>26</v>
      </c>
      <c r="C10">
        <v>12</v>
      </c>
      <c r="D10">
        <v>0.11</v>
      </c>
      <c r="E10">
        <f t="shared" si="2"/>
        <v>34.32</v>
      </c>
      <c r="H10" t="s">
        <v>363</v>
      </c>
      <c r="I10">
        <v>25</v>
      </c>
      <c r="J10">
        <v>16</v>
      </c>
      <c r="K10">
        <v>0.11</v>
      </c>
      <c r="L10">
        <f t="shared" si="3"/>
        <v>44</v>
      </c>
      <c r="O10" t="s">
        <v>213</v>
      </c>
      <c r="P10">
        <v>15</v>
      </c>
      <c r="Q10">
        <v>12</v>
      </c>
      <c r="R10">
        <v>0.11</v>
      </c>
      <c r="S10">
        <f t="shared" si="0"/>
        <v>19.8</v>
      </c>
      <c r="V10" t="s">
        <v>32</v>
      </c>
      <c r="W10">
        <v>30</v>
      </c>
      <c r="X10">
        <v>8</v>
      </c>
      <c r="Y10">
        <v>0.12</v>
      </c>
      <c r="Z10">
        <f t="shared" si="1"/>
        <v>28.799999999999997</v>
      </c>
    </row>
    <row r="11" spans="1:30">
      <c r="A11" t="s">
        <v>668</v>
      </c>
      <c r="B11">
        <v>27</v>
      </c>
      <c r="C11">
        <v>24</v>
      </c>
      <c r="D11">
        <v>0.11</v>
      </c>
      <c r="E11">
        <f t="shared" si="2"/>
        <v>71.28</v>
      </c>
      <c r="H11" t="s">
        <v>362</v>
      </c>
      <c r="I11">
        <v>1</v>
      </c>
      <c r="J11">
        <v>369</v>
      </c>
      <c r="K11">
        <v>0.11</v>
      </c>
      <c r="L11">
        <f t="shared" si="3"/>
        <v>40.590000000000003</v>
      </c>
      <c r="O11" t="s">
        <v>214</v>
      </c>
      <c r="P11">
        <v>2</v>
      </c>
      <c r="Q11">
        <v>212</v>
      </c>
      <c r="R11">
        <v>0.11</v>
      </c>
      <c r="S11">
        <f t="shared" si="0"/>
        <v>46.64</v>
      </c>
      <c r="V11" t="s">
        <v>34</v>
      </c>
      <c r="W11">
        <v>25</v>
      </c>
      <c r="X11">
        <v>20</v>
      </c>
      <c r="Y11">
        <v>0.12</v>
      </c>
      <c r="Z11">
        <f t="shared" si="1"/>
        <v>60</v>
      </c>
    </row>
    <row r="12" spans="1:30">
      <c r="A12" t="s">
        <v>669</v>
      </c>
      <c r="B12">
        <v>2</v>
      </c>
      <c r="C12">
        <v>16</v>
      </c>
      <c r="D12">
        <v>0.11</v>
      </c>
      <c r="E12">
        <f t="shared" si="2"/>
        <v>3.52</v>
      </c>
      <c r="H12" t="s">
        <v>365</v>
      </c>
      <c r="I12">
        <v>1</v>
      </c>
      <c r="J12">
        <v>54</v>
      </c>
      <c r="K12">
        <v>0.11</v>
      </c>
      <c r="L12">
        <f t="shared" si="3"/>
        <v>5.94</v>
      </c>
      <c r="O12" t="s">
        <v>215</v>
      </c>
      <c r="P12">
        <v>3</v>
      </c>
      <c r="Q12">
        <v>36</v>
      </c>
      <c r="R12">
        <v>0.11</v>
      </c>
      <c r="S12">
        <f t="shared" si="0"/>
        <v>11.879999999999999</v>
      </c>
      <c r="V12" t="s">
        <v>35</v>
      </c>
      <c r="W12">
        <v>25</v>
      </c>
      <c r="X12">
        <v>20</v>
      </c>
      <c r="Y12">
        <v>0.12</v>
      </c>
      <c r="Z12">
        <f t="shared" si="1"/>
        <v>60</v>
      </c>
    </row>
    <row r="13" spans="1:30">
      <c r="A13" t="s">
        <v>671</v>
      </c>
      <c r="B13">
        <v>1</v>
      </c>
      <c r="C13">
        <v>120</v>
      </c>
      <c r="D13">
        <v>0.11</v>
      </c>
      <c r="E13">
        <f t="shared" si="2"/>
        <v>13.2</v>
      </c>
      <c r="H13" t="s">
        <v>366</v>
      </c>
      <c r="I13">
        <v>25</v>
      </c>
      <c r="J13">
        <v>16</v>
      </c>
      <c r="K13">
        <v>0.11</v>
      </c>
      <c r="L13">
        <f t="shared" si="3"/>
        <v>44</v>
      </c>
      <c r="O13" t="s">
        <v>217</v>
      </c>
      <c r="P13">
        <v>20</v>
      </c>
      <c r="Q13">
        <v>24</v>
      </c>
      <c r="R13">
        <v>0.11</v>
      </c>
      <c r="S13">
        <f t="shared" si="0"/>
        <v>52.800000000000004</v>
      </c>
      <c r="V13" t="s">
        <v>36</v>
      </c>
      <c r="W13">
        <v>25</v>
      </c>
      <c r="X13">
        <v>16</v>
      </c>
      <c r="Y13">
        <v>0.12</v>
      </c>
      <c r="Z13">
        <f t="shared" si="1"/>
        <v>48</v>
      </c>
    </row>
    <row r="14" spans="1:30">
      <c r="A14" t="s">
        <v>672</v>
      </c>
      <c r="B14">
        <v>25</v>
      </c>
      <c r="C14">
        <v>4</v>
      </c>
      <c r="D14">
        <v>0.11</v>
      </c>
      <c r="E14">
        <f t="shared" si="2"/>
        <v>11</v>
      </c>
      <c r="H14" t="s">
        <v>367</v>
      </c>
      <c r="I14">
        <v>25</v>
      </c>
      <c r="J14">
        <v>16</v>
      </c>
      <c r="K14">
        <v>0.11</v>
      </c>
      <c r="L14">
        <f t="shared" si="3"/>
        <v>44</v>
      </c>
      <c r="O14" s="19" t="s">
        <v>216</v>
      </c>
      <c r="P14">
        <v>20</v>
      </c>
      <c r="Q14">
        <v>16</v>
      </c>
      <c r="R14">
        <v>0.11</v>
      </c>
      <c r="S14">
        <f t="shared" si="0"/>
        <v>35.200000000000003</v>
      </c>
      <c r="V14" t="s">
        <v>39</v>
      </c>
      <c r="W14">
        <v>25</v>
      </c>
      <c r="X14">
        <v>16</v>
      </c>
      <c r="Y14">
        <v>0.12</v>
      </c>
      <c r="Z14">
        <f t="shared" si="1"/>
        <v>48</v>
      </c>
    </row>
    <row r="15" spans="1:30">
      <c r="A15" t="s">
        <v>215</v>
      </c>
      <c r="B15">
        <v>3</v>
      </c>
      <c r="C15">
        <v>40</v>
      </c>
      <c r="D15">
        <v>0.11</v>
      </c>
      <c r="E15">
        <f t="shared" si="2"/>
        <v>13.200000000000001</v>
      </c>
      <c r="H15" t="s">
        <v>379</v>
      </c>
      <c r="I15">
        <v>25</v>
      </c>
      <c r="J15">
        <v>8</v>
      </c>
      <c r="K15">
        <v>0.11</v>
      </c>
      <c r="L15">
        <f t="shared" si="3"/>
        <v>22</v>
      </c>
      <c r="O15" s="19" t="s">
        <v>218</v>
      </c>
      <c r="P15">
        <v>20</v>
      </c>
      <c r="Q15">
        <v>12</v>
      </c>
      <c r="R15">
        <v>0.11</v>
      </c>
      <c r="S15">
        <f>R15*Q15*P15</f>
        <v>26.400000000000002</v>
      </c>
      <c r="V15" t="s">
        <v>40</v>
      </c>
      <c r="W15">
        <v>25</v>
      </c>
      <c r="X15">
        <v>4</v>
      </c>
      <c r="Y15">
        <v>0.12</v>
      </c>
      <c r="Z15">
        <f t="shared" si="1"/>
        <v>12</v>
      </c>
    </row>
    <row r="16" spans="1:30">
      <c r="A16" t="s">
        <v>676</v>
      </c>
      <c r="B16">
        <v>1</v>
      </c>
      <c r="C16">
        <v>16</v>
      </c>
      <c r="D16">
        <v>0.11</v>
      </c>
      <c r="E16">
        <f t="shared" si="2"/>
        <v>1.76</v>
      </c>
      <c r="H16" t="s">
        <v>380</v>
      </c>
      <c r="I16">
        <v>25</v>
      </c>
      <c r="J16">
        <v>8</v>
      </c>
      <c r="K16">
        <v>0.11</v>
      </c>
      <c r="L16">
        <f t="shared" si="3"/>
        <v>22</v>
      </c>
      <c r="O16" t="s">
        <v>219</v>
      </c>
      <c r="P16">
        <v>3</v>
      </c>
      <c r="Q16">
        <v>12</v>
      </c>
      <c r="R16">
        <v>0.11</v>
      </c>
      <c r="S16">
        <f>R16*Q16*P16</f>
        <v>3.96</v>
      </c>
      <c r="V16" t="s">
        <v>41</v>
      </c>
      <c r="W16">
        <v>25</v>
      </c>
      <c r="X16">
        <v>16</v>
      </c>
      <c r="Y16">
        <v>0.12</v>
      </c>
      <c r="Z16">
        <f t="shared" si="1"/>
        <v>48</v>
      </c>
    </row>
    <row r="17" spans="1:30">
      <c r="A17" t="s">
        <v>679</v>
      </c>
      <c r="B17">
        <v>1</v>
      </c>
      <c r="C17">
        <v>24</v>
      </c>
      <c r="D17">
        <v>0.11</v>
      </c>
      <c r="E17">
        <f t="shared" si="2"/>
        <v>2.64</v>
      </c>
      <c r="H17" t="s">
        <v>381</v>
      </c>
      <c r="I17">
        <v>1</v>
      </c>
      <c r="J17">
        <v>52</v>
      </c>
      <c r="K17">
        <v>0.11</v>
      </c>
      <c r="L17">
        <f t="shared" si="3"/>
        <v>5.72</v>
      </c>
      <c r="O17" t="s">
        <v>221</v>
      </c>
      <c r="P17">
        <v>20</v>
      </c>
      <c r="Q17">
        <v>4</v>
      </c>
      <c r="R17">
        <v>0.11</v>
      </c>
      <c r="S17">
        <f>R17*Q17*P17</f>
        <v>8.8000000000000007</v>
      </c>
      <c r="V17" t="s">
        <v>42</v>
      </c>
      <c r="W17">
        <v>1</v>
      </c>
      <c r="X17">
        <v>60</v>
      </c>
      <c r="Y17">
        <v>0.12</v>
      </c>
      <c r="Z17">
        <f t="shared" si="1"/>
        <v>7.1999999999999993</v>
      </c>
      <c r="AC17" t="s">
        <v>61</v>
      </c>
      <c r="AD17">
        <f>Z17+Z18+Z28+Z29+Z30+Z31+Z32-50+Z55+Z56+Z57+Z61+Z62+Z63+Z64-50+S6+S7+S8+S9+S62+S63+S64+S65+S66</f>
        <v>47.730000000000018</v>
      </c>
    </row>
    <row r="18" spans="1:30">
      <c r="A18" t="s">
        <v>678</v>
      </c>
      <c r="B18">
        <v>1</v>
      </c>
      <c r="C18">
        <v>12</v>
      </c>
      <c r="D18">
        <v>0.11</v>
      </c>
      <c r="E18">
        <f t="shared" si="2"/>
        <v>1.32</v>
      </c>
      <c r="H18" t="s">
        <v>382</v>
      </c>
      <c r="I18">
        <v>25</v>
      </c>
      <c r="J18">
        <v>24</v>
      </c>
      <c r="K18">
        <v>0.11</v>
      </c>
      <c r="L18">
        <f t="shared" si="3"/>
        <v>66</v>
      </c>
      <c r="O18" t="s">
        <v>222</v>
      </c>
      <c r="P18">
        <v>100</v>
      </c>
      <c r="Q18">
        <v>1</v>
      </c>
      <c r="R18">
        <v>0.11</v>
      </c>
      <c r="S18">
        <f>R18*Q18*P18</f>
        <v>11</v>
      </c>
      <c r="V18" t="s">
        <v>43</v>
      </c>
      <c r="W18">
        <v>1</v>
      </c>
      <c r="X18">
        <v>8</v>
      </c>
      <c r="Y18">
        <v>0.12</v>
      </c>
      <c r="Z18">
        <f t="shared" si="1"/>
        <v>0.96</v>
      </c>
    </row>
    <row r="19" spans="1:30">
      <c r="A19" t="s">
        <v>677</v>
      </c>
      <c r="B19">
        <v>1</v>
      </c>
      <c r="C19">
        <v>32</v>
      </c>
      <c r="D19">
        <v>0.11</v>
      </c>
      <c r="E19">
        <f t="shared" si="2"/>
        <v>3.52</v>
      </c>
      <c r="H19" t="s">
        <v>383</v>
      </c>
      <c r="I19">
        <v>23</v>
      </c>
      <c r="J19">
        <v>16</v>
      </c>
      <c r="K19">
        <v>0.11</v>
      </c>
      <c r="L19">
        <f t="shared" si="3"/>
        <v>40.479999999999997</v>
      </c>
      <c r="O19" t="s">
        <v>209</v>
      </c>
      <c r="P19">
        <v>100</v>
      </c>
      <c r="Q19">
        <v>1</v>
      </c>
      <c r="R19">
        <v>1.3</v>
      </c>
      <c r="S19">
        <f>R19*Q19*P19</f>
        <v>130</v>
      </c>
      <c r="V19" t="s">
        <v>44</v>
      </c>
      <c r="W19">
        <v>25</v>
      </c>
      <c r="X19">
        <v>16</v>
      </c>
      <c r="Y19">
        <v>0.12</v>
      </c>
      <c r="Z19">
        <f t="shared" si="1"/>
        <v>48</v>
      </c>
    </row>
    <row r="20" spans="1:30">
      <c r="A20" t="s">
        <v>684</v>
      </c>
      <c r="B20">
        <v>23</v>
      </c>
      <c r="C20">
        <v>8</v>
      </c>
      <c r="D20">
        <v>0.11</v>
      </c>
      <c r="E20">
        <f t="shared" si="2"/>
        <v>20.239999999999998</v>
      </c>
      <c r="H20" t="s">
        <v>384</v>
      </c>
      <c r="I20">
        <v>25</v>
      </c>
      <c r="J20">
        <v>12</v>
      </c>
      <c r="K20">
        <v>0.11</v>
      </c>
      <c r="L20">
        <f t="shared" si="3"/>
        <v>33</v>
      </c>
      <c r="O20" t="s">
        <v>223</v>
      </c>
      <c r="P20">
        <v>15</v>
      </c>
      <c r="Q20">
        <v>28</v>
      </c>
      <c r="R20">
        <v>0.11</v>
      </c>
      <c r="S20">
        <f t="shared" ref="S20:S25" si="4">R20*Q20*P20</f>
        <v>46.2</v>
      </c>
      <c r="V20" t="s">
        <v>45</v>
      </c>
      <c r="W20">
        <v>1</v>
      </c>
      <c r="X20">
        <v>56</v>
      </c>
      <c r="Y20">
        <v>0.12</v>
      </c>
      <c r="Z20">
        <f t="shared" si="1"/>
        <v>6.72</v>
      </c>
    </row>
    <row r="21" spans="1:30">
      <c r="A21" t="s">
        <v>685</v>
      </c>
      <c r="B21">
        <v>23</v>
      </c>
      <c r="C21">
        <v>8</v>
      </c>
      <c r="D21">
        <v>0.11</v>
      </c>
      <c r="E21">
        <f t="shared" si="2"/>
        <v>20.239999999999998</v>
      </c>
      <c r="H21" t="s">
        <v>385</v>
      </c>
      <c r="I21">
        <v>25</v>
      </c>
      <c r="J21">
        <v>20</v>
      </c>
      <c r="K21">
        <v>0.11</v>
      </c>
      <c r="L21">
        <f t="shared" si="3"/>
        <v>55.000000000000007</v>
      </c>
      <c r="O21" t="s">
        <v>224</v>
      </c>
      <c r="P21">
        <v>15</v>
      </c>
      <c r="Q21">
        <v>12</v>
      </c>
      <c r="R21">
        <v>0.11</v>
      </c>
      <c r="S21">
        <f t="shared" si="4"/>
        <v>19.8</v>
      </c>
      <c r="V21" t="s">
        <v>46</v>
      </c>
      <c r="W21">
        <v>20</v>
      </c>
      <c r="X21">
        <v>16</v>
      </c>
      <c r="Y21">
        <v>0.12</v>
      </c>
      <c r="Z21">
        <f t="shared" si="1"/>
        <v>38.4</v>
      </c>
      <c r="AC21" t="s">
        <v>62</v>
      </c>
      <c r="AD21">
        <f>Z33-40</f>
        <v>-33.28</v>
      </c>
    </row>
    <row r="22" spans="1:30">
      <c r="A22" t="s">
        <v>694</v>
      </c>
      <c r="B22">
        <v>25</v>
      </c>
      <c r="C22">
        <v>12</v>
      </c>
      <c r="D22">
        <v>0.11</v>
      </c>
      <c r="E22">
        <f t="shared" si="2"/>
        <v>33</v>
      </c>
      <c r="H22" t="s">
        <v>386</v>
      </c>
      <c r="I22">
        <v>25</v>
      </c>
      <c r="J22">
        <v>8</v>
      </c>
      <c r="K22">
        <v>0.11</v>
      </c>
      <c r="L22">
        <f t="shared" si="3"/>
        <v>22</v>
      </c>
      <c r="O22" t="s">
        <v>225</v>
      </c>
      <c r="P22">
        <v>2</v>
      </c>
      <c r="Q22">
        <v>16</v>
      </c>
      <c r="R22">
        <v>0.11</v>
      </c>
      <c r="S22">
        <f t="shared" si="4"/>
        <v>3.52</v>
      </c>
      <c r="V22" t="s">
        <v>47</v>
      </c>
      <c r="W22">
        <v>25</v>
      </c>
      <c r="X22">
        <v>12</v>
      </c>
      <c r="Y22">
        <v>0.12</v>
      </c>
      <c r="Z22">
        <f t="shared" si="1"/>
        <v>36</v>
      </c>
    </row>
    <row r="23" spans="1:30">
      <c r="A23" t="s">
        <v>695</v>
      </c>
      <c r="B23">
        <v>2</v>
      </c>
      <c r="C23">
        <v>48</v>
      </c>
      <c r="D23">
        <v>0.11</v>
      </c>
      <c r="E23">
        <f t="shared" si="2"/>
        <v>10.56</v>
      </c>
      <c r="H23" t="s">
        <v>394</v>
      </c>
      <c r="I23">
        <v>25</v>
      </c>
      <c r="J23">
        <v>16</v>
      </c>
      <c r="K23">
        <v>0.11</v>
      </c>
      <c r="L23">
        <f t="shared" si="3"/>
        <v>44</v>
      </c>
      <c r="O23" t="s">
        <v>226</v>
      </c>
      <c r="P23">
        <v>20</v>
      </c>
      <c r="Q23">
        <v>16</v>
      </c>
      <c r="R23">
        <v>0.11</v>
      </c>
      <c r="S23">
        <f t="shared" si="4"/>
        <v>35.200000000000003</v>
      </c>
      <c r="V23" t="s">
        <v>51</v>
      </c>
      <c r="W23">
        <v>25</v>
      </c>
      <c r="X23">
        <v>8</v>
      </c>
      <c r="Y23">
        <v>0.12</v>
      </c>
      <c r="Z23">
        <f t="shared" si="1"/>
        <v>24</v>
      </c>
    </row>
    <row r="24" spans="1:30">
      <c r="A24" t="s">
        <v>700</v>
      </c>
      <c r="B24">
        <v>25</v>
      </c>
      <c r="C24">
        <v>20</v>
      </c>
      <c r="D24">
        <v>0.11</v>
      </c>
      <c r="E24">
        <f t="shared" si="2"/>
        <v>55.000000000000007</v>
      </c>
      <c r="H24" t="s">
        <v>395</v>
      </c>
      <c r="I24">
        <v>25</v>
      </c>
      <c r="J24">
        <v>12</v>
      </c>
      <c r="K24">
        <v>0.11</v>
      </c>
      <c r="L24">
        <f t="shared" si="3"/>
        <v>33</v>
      </c>
      <c r="O24" t="s">
        <v>227</v>
      </c>
      <c r="P24">
        <v>20</v>
      </c>
      <c r="Q24">
        <v>4</v>
      </c>
      <c r="R24">
        <v>0.11</v>
      </c>
      <c r="S24">
        <f t="shared" si="4"/>
        <v>8.8000000000000007</v>
      </c>
      <c r="V24" t="s">
        <v>48</v>
      </c>
      <c r="W24">
        <v>25</v>
      </c>
      <c r="X24">
        <v>20</v>
      </c>
      <c r="Y24">
        <v>0.12</v>
      </c>
      <c r="Z24">
        <f t="shared" si="1"/>
        <v>60</v>
      </c>
    </row>
    <row r="25" spans="1:30">
      <c r="A25" t="s">
        <v>701</v>
      </c>
      <c r="B25">
        <v>24</v>
      </c>
      <c r="C25">
        <v>12</v>
      </c>
      <c r="D25">
        <v>0.11</v>
      </c>
      <c r="E25">
        <f t="shared" si="2"/>
        <v>31.68</v>
      </c>
      <c r="H25" t="s">
        <v>421</v>
      </c>
      <c r="I25">
        <v>25</v>
      </c>
      <c r="J25">
        <v>20</v>
      </c>
      <c r="K25">
        <v>0.11</v>
      </c>
      <c r="L25">
        <f t="shared" si="3"/>
        <v>55.000000000000007</v>
      </c>
      <c r="O25" t="s">
        <v>228</v>
      </c>
      <c r="P25">
        <v>12</v>
      </c>
      <c r="Q25" s="7">
        <v>15</v>
      </c>
      <c r="R25">
        <v>0.11</v>
      </c>
      <c r="S25">
        <f t="shared" si="4"/>
        <v>19.799999999999997</v>
      </c>
      <c r="V25" t="s">
        <v>50</v>
      </c>
      <c r="W25">
        <v>25</v>
      </c>
      <c r="X25">
        <v>28</v>
      </c>
      <c r="Y25">
        <v>0.12</v>
      </c>
      <c r="Z25">
        <f t="shared" si="1"/>
        <v>84</v>
      </c>
    </row>
    <row r="26" spans="1:30">
      <c r="A26" s="19" t="s">
        <v>702</v>
      </c>
      <c r="B26">
        <v>24</v>
      </c>
      <c r="C26">
        <v>8</v>
      </c>
      <c r="D26">
        <v>0.11</v>
      </c>
      <c r="E26">
        <f t="shared" si="2"/>
        <v>21.12</v>
      </c>
      <c r="H26" t="s">
        <v>422</v>
      </c>
      <c r="I26">
        <v>25</v>
      </c>
      <c r="J26">
        <v>24</v>
      </c>
      <c r="K26">
        <v>0.11</v>
      </c>
      <c r="L26">
        <f t="shared" si="3"/>
        <v>66</v>
      </c>
      <c r="O26" t="s">
        <v>229</v>
      </c>
      <c r="P26">
        <v>1</v>
      </c>
      <c r="Q26" s="7">
        <v>128</v>
      </c>
      <c r="R26">
        <v>0.11</v>
      </c>
      <c r="S26">
        <f t="shared" ref="S26:S34" si="5">R26*Q26*P26</f>
        <v>14.08</v>
      </c>
      <c r="V26" t="s">
        <v>49</v>
      </c>
      <c r="W26">
        <v>25</v>
      </c>
      <c r="X26">
        <v>20</v>
      </c>
      <c r="Y26">
        <v>0.12</v>
      </c>
      <c r="Z26">
        <f t="shared" si="1"/>
        <v>60</v>
      </c>
    </row>
    <row r="27" spans="1:30">
      <c r="A27" t="s">
        <v>710</v>
      </c>
      <c r="B27">
        <v>24</v>
      </c>
      <c r="C27">
        <v>8</v>
      </c>
      <c r="D27">
        <v>0.11</v>
      </c>
      <c r="E27">
        <f t="shared" si="2"/>
        <v>21.12</v>
      </c>
      <c r="H27" t="s">
        <v>425</v>
      </c>
      <c r="I27">
        <v>25</v>
      </c>
      <c r="J27">
        <v>20</v>
      </c>
      <c r="K27">
        <v>0.11</v>
      </c>
      <c r="L27">
        <f t="shared" si="3"/>
        <v>55.000000000000007</v>
      </c>
      <c r="O27" t="s">
        <v>230</v>
      </c>
      <c r="P27">
        <v>1</v>
      </c>
      <c r="Q27" s="7">
        <v>76</v>
      </c>
      <c r="R27">
        <v>0.11</v>
      </c>
      <c r="S27">
        <f t="shared" si="5"/>
        <v>8.36</v>
      </c>
      <c r="V27" t="s">
        <v>52</v>
      </c>
      <c r="W27">
        <v>25</v>
      </c>
      <c r="X27">
        <v>20</v>
      </c>
      <c r="Y27">
        <v>0.12</v>
      </c>
      <c r="Z27">
        <f t="shared" si="1"/>
        <v>60</v>
      </c>
    </row>
    <row r="28" spans="1:30">
      <c r="A28" t="s">
        <v>717</v>
      </c>
      <c r="B28">
        <v>24</v>
      </c>
      <c r="C28">
        <v>8</v>
      </c>
      <c r="D28">
        <v>0.11</v>
      </c>
      <c r="E28">
        <f t="shared" si="2"/>
        <v>21.12</v>
      </c>
      <c r="H28" t="s">
        <v>424</v>
      </c>
      <c r="I28">
        <v>1</v>
      </c>
      <c r="J28">
        <v>44</v>
      </c>
      <c r="K28">
        <v>0.11</v>
      </c>
      <c r="L28">
        <f t="shared" si="3"/>
        <v>4.84</v>
      </c>
      <c r="O28" t="s">
        <v>231</v>
      </c>
      <c r="P28">
        <v>1</v>
      </c>
      <c r="Q28" s="7">
        <v>76</v>
      </c>
      <c r="R28">
        <v>0.11</v>
      </c>
      <c r="S28">
        <f t="shared" si="5"/>
        <v>8.36</v>
      </c>
      <c r="V28" t="s">
        <v>53</v>
      </c>
      <c r="W28">
        <v>1</v>
      </c>
      <c r="X28">
        <v>24</v>
      </c>
      <c r="Y28">
        <v>0.12</v>
      </c>
      <c r="Z28">
        <f t="shared" si="1"/>
        <v>2.88</v>
      </c>
    </row>
    <row r="29" spans="1:30">
      <c r="A29" t="s">
        <v>735</v>
      </c>
      <c r="B29">
        <v>24</v>
      </c>
      <c r="C29">
        <v>12</v>
      </c>
      <c r="D29">
        <v>0.11</v>
      </c>
      <c r="E29">
        <f t="shared" si="2"/>
        <v>31.68</v>
      </c>
      <c r="H29" s="19" t="s">
        <v>425</v>
      </c>
      <c r="I29">
        <v>25</v>
      </c>
      <c r="J29">
        <v>12</v>
      </c>
      <c r="K29">
        <v>0.11</v>
      </c>
      <c r="L29">
        <f t="shared" si="3"/>
        <v>33</v>
      </c>
      <c r="O29" t="s">
        <v>232</v>
      </c>
      <c r="P29">
        <v>1</v>
      </c>
      <c r="Q29" s="7">
        <v>32</v>
      </c>
      <c r="R29">
        <v>0.11</v>
      </c>
      <c r="S29">
        <f t="shared" si="5"/>
        <v>3.52</v>
      </c>
      <c r="V29" t="s">
        <v>56</v>
      </c>
      <c r="W29">
        <v>1</v>
      </c>
      <c r="X29">
        <v>40</v>
      </c>
      <c r="Y29">
        <v>0.12</v>
      </c>
      <c r="Z29">
        <f t="shared" si="1"/>
        <v>4.8</v>
      </c>
    </row>
    <row r="30" spans="1:30">
      <c r="A30" t="s">
        <v>742</v>
      </c>
      <c r="B30">
        <v>25</v>
      </c>
      <c r="C30">
        <v>3</v>
      </c>
      <c r="D30">
        <v>0.11</v>
      </c>
      <c r="E30">
        <f t="shared" si="2"/>
        <v>8.25</v>
      </c>
      <c r="H30" t="s">
        <v>426</v>
      </c>
      <c r="I30">
        <v>25</v>
      </c>
      <c r="J30">
        <v>20</v>
      </c>
      <c r="K30">
        <v>0.11</v>
      </c>
      <c r="L30">
        <f>K30*J30*I30</f>
        <v>55.000000000000007</v>
      </c>
      <c r="O30" t="s">
        <v>236</v>
      </c>
      <c r="P30">
        <v>1</v>
      </c>
      <c r="Q30" s="7">
        <v>72</v>
      </c>
      <c r="R30">
        <v>0.11</v>
      </c>
      <c r="S30">
        <f t="shared" si="5"/>
        <v>7.92</v>
      </c>
      <c r="V30" t="s">
        <v>57</v>
      </c>
      <c r="W30">
        <v>1</v>
      </c>
      <c r="X30">
        <v>24</v>
      </c>
      <c r="Y30">
        <v>0.12</v>
      </c>
      <c r="Z30">
        <f t="shared" si="1"/>
        <v>2.88</v>
      </c>
    </row>
    <row r="31" spans="1:30">
      <c r="A31" t="s">
        <v>754</v>
      </c>
      <c r="B31">
        <v>25</v>
      </c>
      <c r="C31">
        <v>24</v>
      </c>
      <c r="D31">
        <v>0.11</v>
      </c>
      <c r="E31">
        <f t="shared" si="2"/>
        <v>66</v>
      </c>
      <c r="H31" t="s">
        <v>427</v>
      </c>
      <c r="I31">
        <v>56</v>
      </c>
      <c r="J31">
        <v>1</v>
      </c>
      <c r="K31">
        <v>0.11</v>
      </c>
      <c r="L31">
        <f>K31*J31*I31</f>
        <v>6.16</v>
      </c>
      <c r="O31" t="s">
        <v>233</v>
      </c>
      <c r="P31">
        <v>2</v>
      </c>
      <c r="Q31" s="7">
        <v>12</v>
      </c>
      <c r="R31">
        <v>0.11</v>
      </c>
      <c r="S31">
        <f t="shared" si="5"/>
        <v>2.64</v>
      </c>
      <c r="V31" t="s">
        <v>58</v>
      </c>
      <c r="W31">
        <v>1</v>
      </c>
      <c r="X31">
        <v>16</v>
      </c>
      <c r="Y31">
        <v>0.12</v>
      </c>
      <c r="Z31">
        <f t="shared" si="1"/>
        <v>1.92</v>
      </c>
    </row>
    <row r="32" spans="1:30">
      <c r="A32" t="s">
        <v>755</v>
      </c>
      <c r="B32">
        <v>24</v>
      </c>
      <c r="C32">
        <v>8</v>
      </c>
      <c r="D32">
        <v>0.11</v>
      </c>
      <c r="E32">
        <f t="shared" si="2"/>
        <v>21.12</v>
      </c>
      <c r="H32" t="s">
        <v>428</v>
      </c>
      <c r="I32">
        <v>524</v>
      </c>
      <c r="J32">
        <v>1</v>
      </c>
      <c r="K32">
        <v>0.11</v>
      </c>
      <c r="L32">
        <f>K32*J32*I32</f>
        <v>57.64</v>
      </c>
      <c r="O32" t="s">
        <v>234</v>
      </c>
      <c r="P32">
        <v>1</v>
      </c>
      <c r="Q32" s="7">
        <v>16</v>
      </c>
      <c r="R32">
        <v>0.11</v>
      </c>
      <c r="S32">
        <f t="shared" si="5"/>
        <v>1.76</v>
      </c>
      <c r="V32" t="s">
        <v>59</v>
      </c>
      <c r="W32">
        <v>1</v>
      </c>
      <c r="X32">
        <v>8</v>
      </c>
      <c r="Y32">
        <v>0.12</v>
      </c>
      <c r="Z32">
        <f t="shared" si="1"/>
        <v>0.96</v>
      </c>
    </row>
    <row r="33" spans="1:28">
      <c r="A33" t="s">
        <v>756</v>
      </c>
      <c r="B33">
        <v>33</v>
      </c>
      <c r="C33">
        <v>28</v>
      </c>
      <c r="D33">
        <v>0.11</v>
      </c>
      <c r="E33">
        <f t="shared" si="2"/>
        <v>101.64</v>
      </c>
      <c r="H33" t="s">
        <v>475</v>
      </c>
      <c r="I33">
        <v>25</v>
      </c>
      <c r="J33">
        <v>32</v>
      </c>
      <c r="K33">
        <v>0.11</v>
      </c>
      <c r="L33">
        <f>K33*J33*I33</f>
        <v>88</v>
      </c>
      <c r="O33" t="s">
        <v>235</v>
      </c>
      <c r="P33">
        <v>1</v>
      </c>
      <c r="Q33" s="7">
        <v>8</v>
      </c>
      <c r="R33">
        <v>0.11</v>
      </c>
      <c r="S33">
        <f t="shared" si="5"/>
        <v>0.88</v>
      </c>
      <c r="V33" t="s">
        <v>45</v>
      </c>
      <c r="W33">
        <v>1</v>
      </c>
      <c r="X33">
        <v>56</v>
      </c>
      <c r="Y33">
        <v>0.12</v>
      </c>
      <c r="Z33">
        <f t="shared" si="1"/>
        <v>6.72</v>
      </c>
    </row>
    <row r="34" spans="1:28">
      <c r="A34" t="s">
        <v>757</v>
      </c>
      <c r="B34">
        <v>35</v>
      </c>
      <c r="C34">
        <v>32</v>
      </c>
      <c r="D34">
        <v>0.11</v>
      </c>
      <c r="E34">
        <f t="shared" si="2"/>
        <v>123.2</v>
      </c>
      <c r="H34" t="s">
        <v>476</v>
      </c>
      <c r="I34">
        <v>25</v>
      </c>
      <c r="J34">
        <v>24</v>
      </c>
      <c r="K34">
        <v>0.11</v>
      </c>
      <c r="L34">
        <f t="shared" ref="L34:L42" si="6">K34*J34*I34</f>
        <v>66</v>
      </c>
      <c r="O34" t="s">
        <v>237</v>
      </c>
      <c r="P34">
        <v>1</v>
      </c>
      <c r="Q34" s="7">
        <v>76</v>
      </c>
      <c r="R34">
        <v>0.11</v>
      </c>
      <c r="S34">
        <f t="shared" si="5"/>
        <v>8.36</v>
      </c>
      <c r="V34" t="s">
        <v>54</v>
      </c>
      <c r="W34">
        <v>25</v>
      </c>
      <c r="X34">
        <v>20</v>
      </c>
      <c r="Y34">
        <v>0.12</v>
      </c>
      <c r="Z34">
        <f t="shared" si="1"/>
        <v>60</v>
      </c>
    </row>
    <row r="35" spans="1:28">
      <c r="A35" t="s">
        <v>758</v>
      </c>
      <c r="B35">
        <v>150</v>
      </c>
      <c r="C35">
        <v>1</v>
      </c>
      <c r="D35">
        <v>3</v>
      </c>
      <c r="E35">
        <f t="shared" ref="E35:E66" si="7">D35*C35*B35</f>
        <v>450</v>
      </c>
      <c r="H35" t="s">
        <v>477</v>
      </c>
      <c r="I35">
        <v>1</v>
      </c>
      <c r="J35">
        <v>164</v>
      </c>
      <c r="K35">
        <v>0.11</v>
      </c>
      <c r="L35">
        <f t="shared" si="6"/>
        <v>18.04</v>
      </c>
      <c r="O35" t="s">
        <v>238</v>
      </c>
      <c r="P35">
        <v>1</v>
      </c>
      <c r="Q35" s="7">
        <v>160</v>
      </c>
      <c r="R35">
        <v>0.11</v>
      </c>
      <c r="S35">
        <f t="shared" ref="S35:S46" si="8">R35*Q35*P35</f>
        <v>17.600000000000001</v>
      </c>
      <c r="V35" t="s">
        <v>55</v>
      </c>
      <c r="W35">
        <v>25</v>
      </c>
      <c r="X35">
        <v>16</v>
      </c>
      <c r="Y35">
        <v>0.12</v>
      </c>
      <c r="Z35">
        <f t="shared" ref="Z35:Z66" si="9">Y35*X35*W35</f>
        <v>48</v>
      </c>
    </row>
    <row r="36" spans="1:28">
      <c r="A36" t="s">
        <v>759</v>
      </c>
      <c r="B36">
        <v>24</v>
      </c>
      <c r="C36">
        <v>20</v>
      </c>
      <c r="D36">
        <v>0.11</v>
      </c>
      <c r="E36">
        <f t="shared" si="7"/>
        <v>52.800000000000004</v>
      </c>
      <c r="H36" t="s">
        <v>480</v>
      </c>
      <c r="I36">
        <v>22</v>
      </c>
      <c r="J36">
        <v>12</v>
      </c>
      <c r="K36">
        <v>0.11</v>
      </c>
      <c r="L36">
        <f t="shared" si="6"/>
        <v>29.040000000000003</v>
      </c>
      <c r="O36" t="s">
        <v>240</v>
      </c>
      <c r="P36">
        <v>20</v>
      </c>
      <c r="Q36" s="7">
        <v>16</v>
      </c>
      <c r="R36">
        <v>0.11</v>
      </c>
      <c r="S36">
        <f t="shared" si="8"/>
        <v>35.200000000000003</v>
      </c>
      <c r="V36" t="s">
        <v>60</v>
      </c>
      <c r="W36">
        <v>40</v>
      </c>
      <c r="X36">
        <v>1</v>
      </c>
      <c r="Y36">
        <v>0.12</v>
      </c>
      <c r="Z36">
        <f t="shared" si="9"/>
        <v>4.8</v>
      </c>
    </row>
    <row r="37" spans="1:28">
      <c r="A37" t="s">
        <v>757</v>
      </c>
      <c r="B37">
        <v>1</v>
      </c>
      <c r="C37">
        <v>36</v>
      </c>
      <c r="D37">
        <v>0.11</v>
      </c>
      <c r="E37">
        <f t="shared" si="7"/>
        <v>3.96</v>
      </c>
      <c r="H37" t="s">
        <v>482</v>
      </c>
      <c r="I37">
        <v>22</v>
      </c>
      <c r="J37">
        <v>20</v>
      </c>
      <c r="K37">
        <v>0.11</v>
      </c>
      <c r="L37">
        <f t="shared" si="6"/>
        <v>48.400000000000006</v>
      </c>
      <c r="O37" t="s">
        <v>241</v>
      </c>
      <c r="P37">
        <v>15</v>
      </c>
      <c r="Q37" s="7">
        <v>12</v>
      </c>
      <c r="R37">
        <v>0.11</v>
      </c>
      <c r="S37">
        <f t="shared" si="8"/>
        <v>19.8</v>
      </c>
      <c r="V37" t="s">
        <v>92</v>
      </c>
      <c r="W37">
        <v>15</v>
      </c>
      <c r="X37">
        <v>44</v>
      </c>
      <c r="Y37">
        <v>0.12</v>
      </c>
      <c r="Z37">
        <f t="shared" si="9"/>
        <v>79.199999999999989</v>
      </c>
    </row>
    <row r="38" spans="1:28">
      <c r="A38" t="s">
        <v>310</v>
      </c>
      <c r="B38">
        <v>1</v>
      </c>
      <c r="C38">
        <v>1</v>
      </c>
      <c r="D38">
        <v>0.11</v>
      </c>
      <c r="E38">
        <f t="shared" si="7"/>
        <v>0.11</v>
      </c>
      <c r="H38" t="s">
        <v>483</v>
      </c>
      <c r="I38">
        <v>1</v>
      </c>
      <c r="J38">
        <v>20</v>
      </c>
      <c r="K38">
        <v>0.11</v>
      </c>
      <c r="L38">
        <f t="shared" si="6"/>
        <v>2.2000000000000002</v>
      </c>
      <c r="O38" t="s">
        <v>242</v>
      </c>
      <c r="P38">
        <v>1</v>
      </c>
      <c r="Q38" s="7">
        <v>36</v>
      </c>
      <c r="R38">
        <v>0.11</v>
      </c>
      <c r="S38">
        <f t="shared" si="8"/>
        <v>3.96</v>
      </c>
      <c r="V38" t="s">
        <v>93</v>
      </c>
      <c r="W38">
        <v>1</v>
      </c>
      <c r="X38">
        <v>521</v>
      </c>
      <c r="Y38">
        <v>0.12</v>
      </c>
      <c r="Z38">
        <f t="shared" si="9"/>
        <v>62.519999999999996</v>
      </c>
      <c r="AA38" t="s">
        <v>94</v>
      </c>
    </row>
    <row r="39" spans="1:28">
      <c r="A39" t="s">
        <v>765</v>
      </c>
      <c r="B39">
        <v>1</v>
      </c>
      <c r="C39">
        <v>703</v>
      </c>
      <c r="D39">
        <v>0.11</v>
      </c>
      <c r="E39">
        <f t="shared" si="7"/>
        <v>77.33</v>
      </c>
      <c r="H39" t="s">
        <v>484</v>
      </c>
      <c r="I39">
        <v>1</v>
      </c>
      <c r="J39">
        <v>5</v>
      </c>
      <c r="K39">
        <v>0.11</v>
      </c>
      <c r="L39">
        <f t="shared" si="6"/>
        <v>0.55000000000000004</v>
      </c>
      <c r="O39" t="s">
        <v>93</v>
      </c>
      <c r="P39">
        <v>1</v>
      </c>
      <c r="Q39">
        <v>521</v>
      </c>
      <c r="R39">
        <v>0.11</v>
      </c>
      <c r="S39">
        <f>R39*Q39*P39+20</f>
        <v>77.31</v>
      </c>
      <c r="T39" t="s">
        <v>94</v>
      </c>
      <c r="V39" t="s">
        <v>92</v>
      </c>
      <c r="W39">
        <v>10</v>
      </c>
      <c r="X39">
        <v>48</v>
      </c>
      <c r="Y39">
        <v>0.12</v>
      </c>
      <c r="Z39">
        <f t="shared" si="9"/>
        <v>57.599999999999994</v>
      </c>
    </row>
    <row r="40" spans="1:28">
      <c r="A40" t="s">
        <v>362</v>
      </c>
      <c r="B40">
        <v>1</v>
      </c>
      <c r="C40">
        <v>432</v>
      </c>
      <c r="D40">
        <v>0.11</v>
      </c>
      <c r="E40">
        <f t="shared" si="7"/>
        <v>47.52</v>
      </c>
      <c r="H40" t="s">
        <v>485</v>
      </c>
      <c r="I40">
        <v>1</v>
      </c>
      <c r="J40">
        <v>50</v>
      </c>
      <c r="K40">
        <v>0.11</v>
      </c>
      <c r="L40">
        <f t="shared" si="6"/>
        <v>5.5</v>
      </c>
      <c r="O40" t="s">
        <v>243</v>
      </c>
      <c r="P40">
        <v>1</v>
      </c>
      <c r="Q40">
        <v>16</v>
      </c>
      <c r="R40">
        <v>0.11</v>
      </c>
      <c r="S40">
        <f t="shared" si="8"/>
        <v>1.76</v>
      </c>
      <c r="V40" t="s">
        <v>95</v>
      </c>
      <c r="W40">
        <v>25</v>
      </c>
      <c r="X40">
        <v>20</v>
      </c>
      <c r="Y40">
        <v>0.12</v>
      </c>
      <c r="Z40">
        <f t="shared" si="9"/>
        <v>60</v>
      </c>
    </row>
    <row r="41" spans="1:28">
      <c r="A41" t="s">
        <v>767</v>
      </c>
      <c r="B41">
        <v>27</v>
      </c>
      <c r="C41">
        <v>56</v>
      </c>
      <c r="D41">
        <v>0.11</v>
      </c>
      <c r="E41">
        <f t="shared" si="7"/>
        <v>166.32</v>
      </c>
      <c r="H41" t="s">
        <v>486</v>
      </c>
      <c r="I41">
        <v>1</v>
      </c>
      <c r="J41">
        <v>20</v>
      </c>
      <c r="K41">
        <v>0.11</v>
      </c>
      <c r="L41">
        <f t="shared" si="6"/>
        <v>2.2000000000000002</v>
      </c>
      <c r="O41" t="s">
        <v>244</v>
      </c>
      <c r="P41">
        <v>1</v>
      </c>
      <c r="Q41" s="7">
        <v>100</v>
      </c>
      <c r="R41">
        <v>0.11</v>
      </c>
      <c r="S41">
        <f t="shared" si="8"/>
        <v>11</v>
      </c>
      <c r="V41" t="s">
        <v>106</v>
      </c>
      <c r="W41">
        <v>25</v>
      </c>
      <c r="X41">
        <v>16</v>
      </c>
      <c r="Y41">
        <v>0.12</v>
      </c>
      <c r="Z41">
        <f t="shared" si="9"/>
        <v>48</v>
      </c>
    </row>
    <row r="42" spans="1:28">
      <c r="A42" t="s">
        <v>768</v>
      </c>
      <c r="B42">
        <v>3</v>
      </c>
      <c r="C42">
        <v>149</v>
      </c>
      <c r="D42">
        <v>0.11</v>
      </c>
      <c r="E42">
        <f t="shared" si="7"/>
        <v>49.17</v>
      </c>
      <c r="H42" t="s">
        <v>487</v>
      </c>
      <c r="I42">
        <v>1</v>
      </c>
      <c r="J42">
        <v>56</v>
      </c>
      <c r="K42">
        <v>0.11</v>
      </c>
      <c r="L42">
        <f t="shared" si="6"/>
        <v>6.16</v>
      </c>
      <c r="O42" t="s">
        <v>245</v>
      </c>
      <c r="P42">
        <v>5</v>
      </c>
      <c r="Q42" s="7">
        <v>44</v>
      </c>
      <c r="R42">
        <v>0.11</v>
      </c>
      <c r="S42">
        <f t="shared" si="8"/>
        <v>24.2</v>
      </c>
      <c r="V42" t="s">
        <v>121</v>
      </c>
      <c r="W42">
        <v>25</v>
      </c>
      <c r="X42">
        <v>16</v>
      </c>
      <c r="Y42">
        <v>0.12</v>
      </c>
      <c r="Z42">
        <f t="shared" si="9"/>
        <v>48</v>
      </c>
      <c r="AB42">
        <f>270+45-Z42-Z43-Z44-Z45-Z46-Z47-Z48-Z49-Z50-60</f>
        <v>-28.199999999999982</v>
      </c>
    </row>
    <row r="43" spans="1:28">
      <c r="A43" t="s">
        <v>769</v>
      </c>
      <c r="B43">
        <v>1</v>
      </c>
      <c r="C43">
        <v>6</v>
      </c>
      <c r="D43">
        <v>0.11</v>
      </c>
      <c r="E43">
        <f t="shared" si="7"/>
        <v>0.66</v>
      </c>
      <c r="H43" t="s">
        <v>488</v>
      </c>
      <c r="I43">
        <v>1</v>
      </c>
      <c r="J43">
        <v>12</v>
      </c>
      <c r="K43">
        <v>0.11</v>
      </c>
      <c r="L43">
        <f t="shared" ref="L43:L51" si="10">K43*J43*I43</f>
        <v>1.32</v>
      </c>
      <c r="O43" t="s">
        <v>247</v>
      </c>
      <c r="P43">
        <v>20</v>
      </c>
      <c r="Q43" s="7">
        <v>12</v>
      </c>
      <c r="R43">
        <v>0.11</v>
      </c>
      <c r="S43">
        <f t="shared" si="8"/>
        <v>26.400000000000002</v>
      </c>
      <c r="V43" t="s">
        <v>123</v>
      </c>
      <c r="W43">
        <v>25</v>
      </c>
      <c r="X43">
        <v>16</v>
      </c>
      <c r="Y43">
        <v>0.12</v>
      </c>
      <c r="Z43">
        <f t="shared" si="9"/>
        <v>48</v>
      </c>
    </row>
    <row r="44" spans="1:28">
      <c r="A44" t="s">
        <v>770</v>
      </c>
      <c r="B44">
        <v>25</v>
      </c>
      <c r="C44">
        <v>8</v>
      </c>
      <c r="D44">
        <v>0.11</v>
      </c>
      <c r="E44">
        <f t="shared" si="7"/>
        <v>22</v>
      </c>
      <c r="H44" t="s">
        <v>489</v>
      </c>
      <c r="I44">
        <v>30</v>
      </c>
      <c r="J44">
        <v>20</v>
      </c>
      <c r="K44">
        <v>0.11</v>
      </c>
      <c r="L44">
        <f t="shared" si="10"/>
        <v>66</v>
      </c>
      <c r="O44" t="s">
        <v>248</v>
      </c>
      <c r="P44">
        <v>20</v>
      </c>
      <c r="Q44">
        <v>4</v>
      </c>
      <c r="R44">
        <v>0.11</v>
      </c>
      <c r="S44">
        <f t="shared" si="8"/>
        <v>8.8000000000000007</v>
      </c>
      <c r="V44" t="s">
        <v>122</v>
      </c>
      <c r="W44">
        <v>25</v>
      </c>
      <c r="X44">
        <v>12</v>
      </c>
      <c r="Y44">
        <v>0.12</v>
      </c>
      <c r="Z44">
        <f t="shared" si="9"/>
        <v>36</v>
      </c>
    </row>
    <row r="45" spans="1:28">
      <c r="A45" t="s">
        <v>772</v>
      </c>
      <c r="B45">
        <v>25</v>
      </c>
      <c r="C45">
        <v>16</v>
      </c>
      <c r="D45">
        <v>0.11</v>
      </c>
      <c r="E45">
        <f t="shared" si="7"/>
        <v>44</v>
      </c>
      <c r="H45" t="s">
        <v>499</v>
      </c>
      <c r="I45">
        <v>1</v>
      </c>
      <c r="J45">
        <v>8</v>
      </c>
      <c r="K45">
        <v>0.11</v>
      </c>
      <c r="L45">
        <f t="shared" si="10"/>
        <v>0.88</v>
      </c>
      <c r="O45" t="s">
        <v>246</v>
      </c>
      <c r="P45">
        <v>1</v>
      </c>
      <c r="Q45">
        <v>144</v>
      </c>
      <c r="R45">
        <v>0.11</v>
      </c>
      <c r="S45">
        <f t="shared" si="8"/>
        <v>15.84</v>
      </c>
      <c r="V45" t="s">
        <v>133</v>
      </c>
      <c r="W45">
        <v>20</v>
      </c>
      <c r="X45">
        <v>4</v>
      </c>
      <c r="Y45">
        <v>0.12</v>
      </c>
      <c r="Z45">
        <f t="shared" si="9"/>
        <v>9.6</v>
      </c>
    </row>
    <row r="46" spans="1:28">
      <c r="A46" t="s">
        <v>773</v>
      </c>
      <c r="B46">
        <v>25</v>
      </c>
      <c r="C46">
        <v>12</v>
      </c>
      <c r="D46">
        <v>0.11</v>
      </c>
      <c r="E46">
        <f t="shared" si="7"/>
        <v>33</v>
      </c>
      <c r="H46" t="s">
        <v>503</v>
      </c>
      <c r="I46">
        <v>20</v>
      </c>
      <c r="J46">
        <v>12</v>
      </c>
      <c r="K46">
        <v>0.11</v>
      </c>
      <c r="L46">
        <f t="shared" si="10"/>
        <v>26.400000000000002</v>
      </c>
      <c r="O46" t="s">
        <v>249</v>
      </c>
      <c r="P46">
        <v>15</v>
      </c>
      <c r="Q46" s="7">
        <v>12</v>
      </c>
      <c r="R46">
        <v>0.11</v>
      </c>
      <c r="S46">
        <f t="shared" si="8"/>
        <v>19.8</v>
      </c>
      <c r="V46" t="s">
        <v>134</v>
      </c>
      <c r="W46">
        <v>20</v>
      </c>
      <c r="X46">
        <v>4</v>
      </c>
      <c r="Y46">
        <v>0.12</v>
      </c>
      <c r="Z46">
        <f t="shared" si="9"/>
        <v>9.6</v>
      </c>
    </row>
    <row r="47" spans="1:28">
      <c r="A47" t="s">
        <v>776</v>
      </c>
      <c r="B47">
        <v>25</v>
      </c>
      <c r="C47">
        <v>16</v>
      </c>
      <c r="D47">
        <v>0.11</v>
      </c>
      <c r="E47">
        <f t="shared" si="7"/>
        <v>44</v>
      </c>
      <c r="H47" t="s">
        <v>365</v>
      </c>
      <c r="I47">
        <v>1</v>
      </c>
      <c r="J47">
        <v>37</v>
      </c>
      <c r="K47">
        <v>0.11</v>
      </c>
      <c r="L47">
        <f t="shared" si="10"/>
        <v>4.07</v>
      </c>
      <c r="O47" t="s">
        <v>250</v>
      </c>
      <c r="P47">
        <v>4</v>
      </c>
      <c r="Q47" s="7">
        <v>16</v>
      </c>
      <c r="R47">
        <v>0.11</v>
      </c>
      <c r="S47">
        <f t="shared" ref="S47:S72" si="11">R47*Q47*P47</f>
        <v>7.04</v>
      </c>
      <c r="V47" t="s">
        <v>135</v>
      </c>
      <c r="W47">
        <v>20</v>
      </c>
      <c r="X47">
        <v>4</v>
      </c>
      <c r="Y47">
        <v>0.12</v>
      </c>
      <c r="Z47">
        <f t="shared" si="9"/>
        <v>9.6</v>
      </c>
    </row>
    <row r="48" spans="1:28">
      <c r="A48" t="s">
        <v>777</v>
      </c>
      <c r="B48">
        <v>25</v>
      </c>
      <c r="C48">
        <v>24</v>
      </c>
      <c r="D48">
        <v>0.11</v>
      </c>
      <c r="E48">
        <f t="shared" si="7"/>
        <v>66</v>
      </c>
      <c r="H48" t="s">
        <v>505</v>
      </c>
      <c r="I48">
        <v>1</v>
      </c>
      <c r="J48">
        <v>44</v>
      </c>
      <c r="K48">
        <v>0.11</v>
      </c>
      <c r="L48">
        <f t="shared" si="10"/>
        <v>4.84</v>
      </c>
      <c r="O48" t="s">
        <v>251</v>
      </c>
      <c r="P48">
        <v>18</v>
      </c>
      <c r="Q48" s="7">
        <v>40</v>
      </c>
      <c r="R48">
        <v>0.11</v>
      </c>
      <c r="S48">
        <f t="shared" si="11"/>
        <v>79.2</v>
      </c>
      <c r="V48" t="s">
        <v>136</v>
      </c>
      <c r="W48">
        <v>25</v>
      </c>
      <c r="X48">
        <v>28</v>
      </c>
      <c r="Y48">
        <v>0.12</v>
      </c>
      <c r="Z48">
        <f t="shared" si="9"/>
        <v>84</v>
      </c>
    </row>
    <row r="49" spans="1:26">
      <c r="A49" t="s">
        <v>781</v>
      </c>
      <c r="B49">
        <v>25</v>
      </c>
      <c r="C49">
        <v>20</v>
      </c>
      <c r="D49">
        <v>0.11</v>
      </c>
      <c r="E49">
        <f t="shared" si="7"/>
        <v>55.000000000000007</v>
      </c>
      <c r="H49" t="s">
        <v>514</v>
      </c>
      <c r="I49">
        <v>1</v>
      </c>
      <c r="J49">
        <v>2124</v>
      </c>
      <c r="K49">
        <v>0.11</v>
      </c>
      <c r="L49">
        <f t="shared" si="10"/>
        <v>233.64000000000001</v>
      </c>
      <c r="O49" t="s">
        <v>252</v>
      </c>
      <c r="P49">
        <v>5</v>
      </c>
      <c r="Q49" s="7">
        <v>16</v>
      </c>
      <c r="R49">
        <v>0.11</v>
      </c>
      <c r="S49">
        <f t="shared" si="11"/>
        <v>8.8000000000000007</v>
      </c>
      <c r="V49" t="s">
        <v>149</v>
      </c>
      <c r="W49">
        <v>20</v>
      </c>
      <c r="X49">
        <v>12</v>
      </c>
      <c r="Y49">
        <v>0.12</v>
      </c>
      <c r="Z49">
        <f t="shared" si="9"/>
        <v>28.799999999999997</v>
      </c>
    </row>
    <row r="50" spans="1:26">
      <c r="A50" t="s">
        <v>788</v>
      </c>
      <c r="B50">
        <v>25</v>
      </c>
      <c r="C50">
        <v>20</v>
      </c>
      <c r="D50">
        <v>0.11</v>
      </c>
      <c r="E50">
        <f t="shared" si="7"/>
        <v>55.000000000000007</v>
      </c>
      <c r="H50" t="s">
        <v>533</v>
      </c>
      <c r="I50">
        <v>25</v>
      </c>
      <c r="J50">
        <v>20</v>
      </c>
      <c r="K50">
        <v>0.11</v>
      </c>
      <c r="L50">
        <f t="shared" si="10"/>
        <v>55.000000000000007</v>
      </c>
      <c r="O50" t="s">
        <v>253</v>
      </c>
      <c r="P50">
        <v>18</v>
      </c>
      <c r="Q50" s="7">
        <v>16</v>
      </c>
      <c r="R50">
        <v>0.11</v>
      </c>
      <c r="S50">
        <f t="shared" si="11"/>
        <v>31.68</v>
      </c>
      <c r="V50" t="s">
        <v>150</v>
      </c>
      <c r="W50">
        <v>20</v>
      </c>
      <c r="X50">
        <v>4</v>
      </c>
      <c r="Y50">
        <v>0.12</v>
      </c>
      <c r="Z50">
        <f t="shared" si="9"/>
        <v>9.6</v>
      </c>
    </row>
    <row r="51" spans="1:26">
      <c r="A51" t="s">
        <v>789</v>
      </c>
      <c r="B51">
        <v>25</v>
      </c>
      <c r="C51">
        <v>8</v>
      </c>
      <c r="D51">
        <v>0.11</v>
      </c>
      <c r="E51">
        <f t="shared" si="7"/>
        <v>22</v>
      </c>
      <c r="H51" t="s">
        <v>537</v>
      </c>
      <c r="I51">
        <v>1</v>
      </c>
      <c r="J51">
        <v>52</v>
      </c>
      <c r="K51">
        <v>0.11</v>
      </c>
      <c r="L51">
        <f t="shared" si="10"/>
        <v>5.72</v>
      </c>
      <c r="O51" t="s">
        <v>256</v>
      </c>
      <c r="P51">
        <v>18</v>
      </c>
      <c r="Q51" s="7">
        <v>8</v>
      </c>
      <c r="R51">
        <v>0.11</v>
      </c>
      <c r="S51">
        <f t="shared" si="11"/>
        <v>15.84</v>
      </c>
      <c r="V51" t="s">
        <v>153</v>
      </c>
      <c r="W51">
        <v>25</v>
      </c>
      <c r="X51">
        <v>20</v>
      </c>
      <c r="Y51">
        <v>0.12</v>
      </c>
      <c r="Z51">
        <f t="shared" si="9"/>
        <v>60</v>
      </c>
    </row>
    <row r="52" spans="1:26">
      <c r="A52" t="s">
        <v>794</v>
      </c>
      <c r="B52">
        <v>20</v>
      </c>
      <c r="C52">
        <v>12</v>
      </c>
      <c r="D52">
        <v>0.11</v>
      </c>
      <c r="E52">
        <f t="shared" si="7"/>
        <v>26.400000000000002</v>
      </c>
      <c r="H52" t="s">
        <v>538</v>
      </c>
      <c r="I52">
        <v>5</v>
      </c>
      <c r="J52">
        <v>16</v>
      </c>
      <c r="K52">
        <v>0.11</v>
      </c>
      <c r="L52">
        <f t="shared" ref="L52:L72" si="12">K52*J52*I52</f>
        <v>8.8000000000000007</v>
      </c>
      <c r="O52" t="s">
        <v>257</v>
      </c>
      <c r="P52">
        <v>18</v>
      </c>
      <c r="Q52" s="7">
        <v>16</v>
      </c>
      <c r="R52">
        <v>0.11</v>
      </c>
      <c r="S52">
        <f t="shared" si="11"/>
        <v>31.68</v>
      </c>
      <c r="V52" t="s">
        <v>154</v>
      </c>
      <c r="W52">
        <v>25</v>
      </c>
      <c r="X52">
        <v>16</v>
      </c>
      <c r="Y52">
        <v>0.12</v>
      </c>
      <c r="Z52">
        <f t="shared" si="9"/>
        <v>48</v>
      </c>
    </row>
    <row r="53" spans="1:26">
      <c r="A53" t="s">
        <v>838</v>
      </c>
      <c r="B53">
        <v>20</v>
      </c>
      <c r="C53">
        <v>28</v>
      </c>
      <c r="D53">
        <v>0.11</v>
      </c>
      <c r="E53">
        <f t="shared" si="7"/>
        <v>61.6</v>
      </c>
      <c r="H53" t="s">
        <v>539</v>
      </c>
      <c r="I53">
        <v>25</v>
      </c>
      <c r="J53">
        <v>8</v>
      </c>
      <c r="K53">
        <v>0.11</v>
      </c>
      <c r="L53">
        <f t="shared" si="12"/>
        <v>22</v>
      </c>
      <c r="N53" t="s">
        <v>260</v>
      </c>
      <c r="O53" t="s">
        <v>261</v>
      </c>
      <c r="P53">
        <v>20</v>
      </c>
      <c r="Q53" s="7">
        <v>24</v>
      </c>
      <c r="R53">
        <v>0.11</v>
      </c>
      <c r="S53">
        <f t="shared" si="11"/>
        <v>52.800000000000004</v>
      </c>
      <c r="V53" t="s">
        <v>155</v>
      </c>
      <c r="W53">
        <v>25</v>
      </c>
      <c r="X53">
        <v>16</v>
      </c>
      <c r="Y53">
        <v>0.12</v>
      </c>
      <c r="Z53">
        <f t="shared" si="9"/>
        <v>48</v>
      </c>
    </row>
    <row r="54" spans="1:26">
      <c r="A54" t="s">
        <v>846</v>
      </c>
      <c r="B54">
        <v>20</v>
      </c>
      <c r="C54">
        <v>20</v>
      </c>
      <c r="D54">
        <v>0.11</v>
      </c>
      <c r="E54">
        <f t="shared" si="7"/>
        <v>44</v>
      </c>
      <c r="H54" t="s">
        <v>564</v>
      </c>
      <c r="I54">
        <v>30</v>
      </c>
      <c r="J54">
        <v>60</v>
      </c>
      <c r="K54">
        <v>0.11</v>
      </c>
      <c r="L54">
        <f>K54*J54*I54+45</f>
        <v>243</v>
      </c>
      <c r="N54" t="s">
        <v>259</v>
      </c>
      <c r="O54" t="s">
        <v>258</v>
      </c>
      <c r="P54">
        <v>15</v>
      </c>
      <c r="Q54" s="7">
        <v>44</v>
      </c>
      <c r="R54">
        <v>0.11</v>
      </c>
      <c r="S54">
        <f t="shared" si="11"/>
        <v>72.599999999999994</v>
      </c>
      <c r="V54" t="s">
        <v>158</v>
      </c>
      <c r="W54">
        <v>20</v>
      </c>
      <c r="X54">
        <v>36</v>
      </c>
      <c r="Y54">
        <v>0.11</v>
      </c>
      <c r="Z54">
        <f t="shared" si="9"/>
        <v>79.2</v>
      </c>
    </row>
    <row r="55" spans="1:26">
      <c r="A55" t="s">
        <v>852</v>
      </c>
      <c r="B55">
        <v>1</v>
      </c>
      <c r="C55">
        <v>76</v>
      </c>
      <c r="D55">
        <v>0.11</v>
      </c>
      <c r="E55">
        <f t="shared" si="7"/>
        <v>8.36</v>
      </c>
      <c r="H55" t="s">
        <v>543</v>
      </c>
      <c r="I55">
        <v>22</v>
      </c>
      <c r="J55">
        <v>20</v>
      </c>
      <c r="K55">
        <v>0.11</v>
      </c>
      <c r="L55">
        <f t="shared" si="12"/>
        <v>48.400000000000006</v>
      </c>
      <c r="O55" t="s">
        <v>262</v>
      </c>
      <c r="P55">
        <v>1</v>
      </c>
      <c r="Q55" s="7">
        <v>252</v>
      </c>
      <c r="R55">
        <v>0.11</v>
      </c>
      <c r="S55">
        <f>R55*Q55*P55+15</f>
        <v>42.72</v>
      </c>
      <c r="T55" t="s">
        <v>94</v>
      </c>
      <c r="V55" t="s">
        <v>45</v>
      </c>
      <c r="W55">
        <v>1</v>
      </c>
      <c r="X55">
        <v>56</v>
      </c>
      <c r="Y55">
        <v>0.11</v>
      </c>
      <c r="Z55">
        <f t="shared" si="9"/>
        <v>6.16</v>
      </c>
    </row>
    <row r="56" spans="1:26">
      <c r="A56" t="s">
        <v>909</v>
      </c>
      <c r="B56">
        <v>30</v>
      </c>
      <c r="C56">
        <v>8</v>
      </c>
      <c r="D56">
        <v>0.11</v>
      </c>
      <c r="E56">
        <f t="shared" si="7"/>
        <v>26.4</v>
      </c>
      <c r="H56" t="s">
        <v>36</v>
      </c>
      <c r="I56">
        <v>1</v>
      </c>
      <c r="J56">
        <v>16</v>
      </c>
      <c r="K56">
        <v>0.11</v>
      </c>
      <c r="L56">
        <f t="shared" si="12"/>
        <v>1.76</v>
      </c>
      <c r="N56" t="s">
        <v>263</v>
      </c>
      <c r="O56" t="s">
        <v>264</v>
      </c>
      <c r="P56">
        <v>15</v>
      </c>
      <c r="Q56" s="7">
        <v>12</v>
      </c>
      <c r="R56">
        <v>0.11</v>
      </c>
      <c r="S56">
        <f t="shared" si="11"/>
        <v>19.8</v>
      </c>
      <c r="V56" t="s">
        <v>163</v>
      </c>
      <c r="W56">
        <v>1</v>
      </c>
      <c r="X56">
        <v>32</v>
      </c>
      <c r="Y56">
        <v>0.11</v>
      </c>
      <c r="Z56">
        <f t="shared" si="9"/>
        <v>3.52</v>
      </c>
    </row>
    <row r="57" spans="1:26">
      <c r="A57" t="s">
        <v>910</v>
      </c>
      <c r="B57">
        <v>30</v>
      </c>
      <c r="C57">
        <v>24</v>
      </c>
      <c r="D57">
        <v>0.11</v>
      </c>
      <c r="E57">
        <f t="shared" si="7"/>
        <v>79.2</v>
      </c>
      <c r="H57" t="s">
        <v>544</v>
      </c>
      <c r="I57">
        <v>25</v>
      </c>
      <c r="J57">
        <v>4</v>
      </c>
      <c r="K57">
        <v>0.11</v>
      </c>
      <c r="L57">
        <f t="shared" si="12"/>
        <v>11</v>
      </c>
      <c r="O57" t="s">
        <v>262</v>
      </c>
      <c r="P57">
        <v>1</v>
      </c>
      <c r="Q57" s="7">
        <v>252</v>
      </c>
      <c r="R57">
        <v>0.11</v>
      </c>
      <c r="S57">
        <f>R57*Q57*P57+15</f>
        <v>42.72</v>
      </c>
      <c r="T57" t="s">
        <v>94</v>
      </c>
      <c r="V57" t="s">
        <v>164</v>
      </c>
      <c r="W57">
        <v>1</v>
      </c>
      <c r="X57">
        <v>12</v>
      </c>
      <c r="Y57">
        <v>0.11</v>
      </c>
      <c r="Z57">
        <f t="shared" si="9"/>
        <v>1.32</v>
      </c>
    </row>
    <row r="58" spans="1:26">
      <c r="A58" t="s">
        <v>912</v>
      </c>
      <c r="B58">
        <v>1</v>
      </c>
      <c r="C58">
        <v>24</v>
      </c>
      <c r="D58">
        <v>0.11</v>
      </c>
      <c r="E58">
        <f t="shared" si="7"/>
        <v>2.64</v>
      </c>
      <c r="H58" t="s">
        <v>545</v>
      </c>
      <c r="I58">
        <v>1</v>
      </c>
      <c r="J58">
        <v>132</v>
      </c>
      <c r="K58">
        <v>0.11</v>
      </c>
      <c r="L58">
        <f t="shared" si="12"/>
        <v>14.52</v>
      </c>
      <c r="O58" t="s">
        <v>265</v>
      </c>
      <c r="P58">
        <v>1</v>
      </c>
      <c r="Q58" s="7">
        <v>44</v>
      </c>
      <c r="R58">
        <v>0.11</v>
      </c>
      <c r="S58">
        <f t="shared" si="11"/>
        <v>4.84</v>
      </c>
      <c r="V58" t="s">
        <v>168</v>
      </c>
      <c r="W58">
        <v>20</v>
      </c>
      <c r="X58">
        <v>16</v>
      </c>
      <c r="Y58">
        <v>0.11</v>
      </c>
      <c r="Z58">
        <f t="shared" si="9"/>
        <v>35.200000000000003</v>
      </c>
    </row>
    <row r="59" spans="1:26">
      <c r="A59" t="s">
        <v>913</v>
      </c>
      <c r="B59">
        <v>1</v>
      </c>
      <c r="C59">
        <v>76</v>
      </c>
      <c r="D59">
        <v>0.11</v>
      </c>
      <c r="E59">
        <f t="shared" si="7"/>
        <v>8.36</v>
      </c>
      <c r="H59" t="s">
        <v>365</v>
      </c>
      <c r="I59">
        <v>1</v>
      </c>
      <c r="J59">
        <v>36</v>
      </c>
      <c r="K59">
        <v>0.11</v>
      </c>
      <c r="L59">
        <f t="shared" si="12"/>
        <v>3.96</v>
      </c>
      <c r="N59" t="s">
        <v>266</v>
      </c>
      <c r="O59" t="s">
        <v>267</v>
      </c>
      <c r="P59">
        <v>20</v>
      </c>
      <c r="Q59" s="7">
        <v>16</v>
      </c>
      <c r="R59">
        <v>0.11</v>
      </c>
      <c r="S59">
        <f t="shared" si="11"/>
        <v>35.200000000000003</v>
      </c>
      <c r="V59" t="s">
        <v>173</v>
      </c>
      <c r="W59">
        <v>20</v>
      </c>
      <c r="X59">
        <v>12</v>
      </c>
      <c r="Y59">
        <v>0.11</v>
      </c>
      <c r="Z59">
        <f t="shared" si="9"/>
        <v>26.400000000000002</v>
      </c>
    </row>
    <row r="60" spans="1:26">
      <c r="A60" t="s">
        <v>920</v>
      </c>
      <c r="B60">
        <v>30</v>
      </c>
      <c r="C60">
        <v>20</v>
      </c>
      <c r="D60">
        <v>0.11</v>
      </c>
      <c r="E60">
        <f t="shared" si="7"/>
        <v>66</v>
      </c>
      <c r="H60" t="s">
        <v>558</v>
      </c>
      <c r="I60">
        <v>22</v>
      </c>
      <c r="J60">
        <v>24</v>
      </c>
      <c r="K60">
        <v>0.11</v>
      </c>
      <c r="L60">
        <f t="shared" si="12"/>
        <v>58.080000000000005</v>
      </c>
      <c r="N60" t="s">
        <v>268</v>
      </c>
      <c r="O60" t="s">
        <v>269</v>
      </c>
      <c r="P60">
        <v>20</v>
      </c>
      <c r="Q60" s="7">
        <v>16</v>
      </c>
      <c r="R60">
        <v>0.11</v>
      </c>
      <c r="S60">
        <f t="shared" si="11"/>
        <v>35.200000000000003</v>
      </c>
      <c r="V60" t="s">
        <v>172</v>
      </c>
      <c r="W60">
        <v>18</v>
      </c>
      <c r="X60">
        <v>8</v>
      </c>
      <c r="Y60">
        <v>0.11</v>
      </c>
      <c r="Z60">
        <f t="shared" si="9"/>
        <v>15.84</v>
      </c>
    </row>
    <row r="61" spans="1:26">
      <c r="A61" t="s">
        <v>923</v>
      </c>
      <c r="B61">
        <v>33</v>
      </c>
      <c r="C61">
        <v>28</v>
      </c>
      <c r="D61">
        <v>0.11</v>
      </c>
      <c r="E61">
        <f t="shared" si="7"/>
        <v>101.64</v>
      </c>
      <c r="H61" t="s">
        <v>562</v>
      </c>
      <c r="I61">
        <v>22</v>
      </c>
      <c r="J61">
        <v>12</v>
      </c>
      <c r="K61">
        <v>0.11</v>
      </c>
      <c r="L61">
        <f t="shared" si="12"/>
        <v>29.040000000000003</v>
      </c>
      <c r="N61" t="s">
        <v>271</v>
      </c>
      <c r="O61" t="s">
        <v>272</v>
      </c>
      <c r="P61">
        <v>1</v>
      </c>
      <c r="Q61" s="7">
        <v>68</v>
      </c>
      <c r="R61">
        <v>0.11</v>
      </c>
      <c r="S61">
        <f t="shared" si="11"/>
        <v>7.48</v>
      </c>
      <c r="V61" t="s">
        <v>177</v>
      </c>
      <c r="W61">
        <v>1</v>
      </c>
      <c r="X61">
        <v>60</v>
      </c>
      <c r="Y61">
        <v>0.11</v>
      </c>
      <c r="Z61">
        <f t="shared" si="9"/>
        <v>6.6</v>
      </c>
    </row>
    <row r="62" spans="1:26">
      <c r="A62" t="s">
        <v>926</v>
      </c>
      <c r="B62">
        <v>35</v>
      </c>
      <c r="C62">
        <v>24</v>
      </c>
      <c r="D62">
        <v>0.11</v>
      </c>
      <c r="E62">
        <f t="shared" si="7"/>
        <v>92.4</v>
      </c>
      <c r="H62" t="s">
        <v>563</v>
      </c>
      <c r="I62">
        <v>1</v>
      </c>
      <c r="J62">
        <v>76</v>
      </c>
      <c r="K62">
        <v>0.11</v>
      </c>
      <c r="L62">
        <f t="shared" si="12"/>
        <v>8.36</v>
      </c>
      <c r="N62" t="s">
        <v>273</v>
      </c>
      <c r="O62" t="s">
        <v>274</v>
      </c>
      <c r="P62">
        <v>1</v>
      </c>
      <c r="Q62" s="7">
        <v>44</v>
      </c>
      <c r="R62">
        <v>0.11</v>
      </c>
      <c r="S62">
        <f t="shared" si="11"/>
        <v>4.84</v>
      </c>
      <c r="V62" t="s">
        <v>180</v>
      </c>
      <c r="W62">
        <v>1</v>
      </c>
      <c r="X62">
        <v>8</v>
      </c>
      <c r="Y62">
        <v>0.11</v>
      </c>
      <c r="Z62">
        <f t="shared" si="9"/>
        <v>0.88</v>
      </c>
    </row>
    <row r="63" spans="1:26">
      <c r="A63" t="s">
        <v>927</v>
      </c>
      <c r="B63">
        <v>35</v>
      </c>
      <c r="C63">
        <v>28</v>
      </c>
      <c r="D63">
        <v>0.11</v>
      </c>
      <c r="E63">
        <f t="shared" si="7"/>
        <v>107.8</v>
      </c>
      <c r="H63" t="s">
        <v>565</v>
      </c>
      <c r="I63">
        <v>22</v>
      </c>
      <c r="J63">
        <v>12</v>
      </c>
      <c r="K63">
        <v>0.11</v>
      </c>
      <c r="L63">
        <f t="shared" si="12"/>
        <v>29.040000000000003</v>
      </c>
      <c r="O63" t="s">
        <v>275</v>
      </c>
      <c r="P63">
        <v>1</v>
      </c>
      <c r="Q63" s="7">
        <v>16</v>
      </c>
      <c r="R63">
        <v>0.11</v>
      </c>
      <c r="S63">
        <f t="shared" si="11"/>
        <v>1.76</v>
      </c>
      <c r="V63" t="s">
        <v>178</v>
      </c>
      <c r="W63">
        <v>1</v>
      </c>
      <c r="X63">
        <v>60</v>
      </c>
      <c r="Y63">
        <v>0.11</v>
      </c>
      <c r="Z63">
        <f t="shared" si="9"/>
        <v>6.6</v>
      </c>
    </row>
    <row r="64" spans="1:26">
      <c r="A64" t="s">
        <v>933</v>
      </c>
      <c r="B64">
        <v>36</v>
      </c>
      <c r="C64">
        <v>16</v>
      </c>
      <c r="D64">
        <v>0.11</v>
      </c>
      <c r="E64">
        <f t="shared" si="7"/>
        <v>63.36</v>
      </c>
      <c r="H64" t="s">
        <v>566</v>
      </c>
      <c r="I64">
        <v>1</v>
      </c>
      <c r="J64">
        <v>60</v>
      </c>
      <c r="K64">
        <v>0.11</v>
      </c>
      <c r="L64">
        <f t="shared" si="12"/>
        <v>6.6</v>
      </c>
      <c r="O64" t="s">
        <v>276</v>
      </c>
      <c r="P64">
        <v>1</v>
      </c>
      <c r="Q64" s="7">
        <v>8</v>
      </c>
      <c r="R64">
        <v>0.11</v>
      </c>
      <c r="S64">
        <f t="shared" si="11"/>
        <v>0.88</v>
      </c>
      <c r="V64" t="s">
        <v>179</v>
      </c>
      <c r="W64">
        <v>1</v>
      </c>
      <c r="X64">
        <v>44</v>
      </c>
      <c r="Y64">
        <v>0.11</v>
      </c>
      <c r="Z64">
        <f t="shared" si="9"/>
        <v>4.84</v>
      </c>
    </row>
    <row r="65" spans="1:28">
      <c r="A65" t="s">
        <v>948</v>
      </c>
      <c r="B65">
        <v>20</v>
      </c>
      <c r="C65">
        <v>8</v>
      </c>
      <c r="D65">
        <v>0.11</v>
      </c>
      <c r="E65">
        <f t="shared" si="7"/>
        <v>17.600000000000001</v>
      </c>
      <c r="H65" t="s">
        <v>569</v>
      </c>
      <c r="I65">
        <v>22</v>
      </c>
      <c r="J65">
        <v>8</v>
      </c>
      <c r="K65">
        <v>0.11</v>
      </c>
      <c r="L65">
        <f t="shared" si="12"/>
        <v>19.36</v>
      </c>
      <c r="O65" t="s">
        <v>277</v>
      </c>
      <c r="P65">
        <v>1</v>
      </c>
      <c r="Q65" s="7">
        <v>28</v>
      </c>
      <c r="R65">
        <v>0.11</v>
      </c>
      <c r="S65">
        <f t="shared" si="11"/>
        <v>3.08</v>
      </c>
      <c r="V65" t="s">
        <v>183</v>
      </c>
      <c r="W65">
        <v>15</v>
      </c>
      <c r="X65">
        <v>20</v>
      </c>
      <c r="Y65">
        <v>0.11</v>
      </c>
      <c r="Z65">
        <f t="shared" si="9"/>
        <v>33</v>
      </c>
    </row>
    <row r="66" spans="1:28">
      <c r="A66" t="s">
        <v>962</v>
      </c>
      <c r="B66">
        <v>35</v>
      </c>
      <c r="C66">
        <v>24</v>
      </c>
      <c r="D66">
        <v>0.11</v>
      </c>
      <c r="E66">
        <f t="shared" si="7"/>
        <v>92.4</v>
      </c>
      <c r="H66" t="s">
        <v>545</v>
      </c>
      <c r="I66">
        <v>1</v>
      </c>
      <c r="J66">
        <v>134</v>
      </c>
      <c r="K66">
        <v>0.11</v>
      </c>
      <c r="L66">
        <f t="shared" si="12"/>
        <v>14.74</v>
      </c>
      <c r="O66" t="s">
        <v>278</v>
      </c>
      <c r="P66">
        <v>1</v>
      </c>
      <c r="Q66" s="7">
        <v>44</v>
      </c>
      <c r="R66">
        <v>0.11</v>
      </c>
      <c r="S66">
        <f t="shared" si="11"/>
        <v>4.84</v>
      </c>
      <c r="V66" t="s">
        <v>184</v>
      </c>
      <c r="W66">
        <v>10</v>
      </c>
      <c r="X66">
        <v>24</v>
      </c>
      <c r="Y66">
        <v>0.11</v>
      </c>
      <c r="Z66">
        <f t="shared" si="9"/>
        <v>26.400000000000002</v>
      </c>
    </row>
    <row r="67" spans="1:28">
      <c r="A67" t="s">
        <v>968</v>
      </c>
      <c r="B67">
        <v>33</v>
      </c>
      <c r="C67">
        <v>16</v>
      </c>
      <c r="D67">
        <v>0.11</v>
      </c>
      <c r="E67">
        <f t="shared" ref="E67:E87" si="13">D67*C67*B67</f>
        <v>58.08</v>
      </c>
      <c r="H67" t="s">
        <v>577</v>
      </c>
      <c r="I67">
        <v>12</v>
      </c>
      <c r="J67">
        <v>22</v>
      </c>
      <c r="K67">
        <v>0.11</v>
      </c>
      <c r="L67">
        <f t="shared" si="12"/>
        <v>29.04</v>
      </c>
      <c r="O67" t="s">
        <v>281</v>
      </c>
      <c r="P67">
        <v>20</v>
      </c>
      <c r="Q67" s="7">
        <v>16</v>
      </c>
      <c r="R67">
        <v>0.11</v>
      </c>
      <c r="S67">
        <f t="shared" si="11"/>
        <v>35.200000000000003</v>
      </c>
      <c r="V67" s="19" t="s">
        <v>185</v>
      </c>
      <c r="W67">
        <v>15</v>
      </c>
      <c r="X67">
        <v>32</v>
      </c>
      <c r="Y67">
        <v>0.11</v>
      </c>
      <c r="Z67">
        <f>Y67*X67*W67</f>
        <v>52.8</v>
      </c>
    </row>
    <row r="68" spans="1:28">
      <c r="A68" t="s">
        <v>970</v>
      </c>
      <c r="B68">
        <v>36</v>
      </c>
      <c r="C68">
        <v>44</v>
      </c>
      <c r="D68">
        <v>0.11</v>
      </c>
      <c r="E68">
        <f t="shared" si="13"/>
        <v>174.24</v>
      </c>
      <c r="H68" s="19" t="s">
        <v>576</v>
      </c>
      <c r="I68">
        <v>16</v>
      </c>
      <c r="J68">
        <v>22</v>
      </c>
      <c r="K68">
        <v>0.11</v>
      </c>
      <c r="L68">
        <f t="shared" si="12"/>
        <v>38.72</v>
      </c>
      <c r="N68" t="s">
        <v>279</v>
      </c>
      <c r="O68" t="s">
        <v>282</v>
      </c>
      <c r="P68">
        <v>15</v>
      </c>
      <c r="Q68" s="7">
        <v>12</v>
      </c>
      <c r="R68">
        <v>0.11</v>
      </c>
      <c r="S68">
        <f t="shared" si="11"/>
        <v>19.8</v>
      </c>
      <c r="V68" t="s">
        <v>191</v>
      </c>
      <c r="W68">
        <v>15</v>
      </c>
      <c r="X68">
        <v>32</v>
      </c>
      <c r="Y68">
        <v>0.11</v>
      </c>
      <c r="Z68">
        <f>Y68*X68*W68</f>
        <v>52.8</v>
      </c>
    </row>
    <row r="69" spans="1:28">
      <c r="A69" t="s">
        <v>969</v>
      </c>
      <c r="B69">
        <v>35</v>
      </c>
      <c r="C69">
        <v>44</v>
      </c>
      <c r="D69">
        <v>0.11</v>
      </c>
      <c r="E69">
        <f t="shared" si="13"/>
        <v>169.4</v>
      </c>
      <c r="H69" s="19" t="s">
        <v>579</v>
      </c>
      <c r="I69">
        <v>16</v>
      </c>
      <c r="J69">
        <v>22</v>
      </c>
      <c r="K69">
        <v>0.11</v>
      </c>
      <c r="L69">
        <f t="shared" si="12"/>
        <v>38.72</v>
      </c>
      <c r="O69" t="s">
        <v>280</v>
      </c>
      <c r="P69">
        <v>15</v>
      </c>
      <c r="Q69" s="7">
        <v>12</v>
      </c>
      <c r="R69">
        <v>0.11</v>
      </c>
      <c r="S69">
        <f t="shared" si="11"/>
        <v>19.8</v>
      </c>
    </row>
    <row r="70" spans="1:28">
      <c r="A70" t="s">
        <v>976</v>
      </c>
      <c r="B70">
        <v>36</v>
      </c>
      <c r="C70">
        <v>52</v>
      </c>
      <c r="D70">
        <v>0.11</v>
      </c>
      <c r="E70">
        <f t="shared" si="13"/>
        <v>205.92</v>
      </c>
      <c r="H70" t="s">
        <v>581</v>
      </c>
      <c r="I70">
        <v>10</v>
      </c>
      <c r="J70">
        <v>72</v>
      </c>
      <c r="K70">
        <v>0.11</v>
      </c>
      <c r="L70">
        <f t="shared" si="12"/>
        <v>79.2</v>
      </c>
      <c r="N70" t="s">
        <v>283</v>
      </c>
      <c r="O70" t="s">
        <v>278</v>
      </c>
      <c r="P70">
        <v>2</v>
      </c>
      <c r="Q70" s="7">
        <v>44</v>
      </c>
      <c r="R70">
        <v>0.11</v>
      </c>
      <c r="S70">
        <f t="shared" si="11"/>
        <v>9.68</v>
      </c>
    </row>
    <row r="71" spans="1:28">
      <c r="A71" t="s">
        <v>913</v>
      </c>
      <c r="B71">
        <v>2</v>
      </c>
      <c r="C71">
        <v>76</v>
      </c>
      <c r="D71">
        <v>0.11</v>
      </c>
      <c r="E71">
        <f t="shared" si="13"/>
        <v>16.72</v>
      </c>
      <c r="H71" t="s">
        <v>583</v>
      </c>
      <c r="I71">
        <v>20</v>
      </c>
      <c r="J71">
        <v>12</v>
      </c>
      <c r="K71">
        <v>0.11</v>
      </c>
      <c r="L71">
        <f t="shared" si="12"/>
        <v>26.400000000000002</v>
      </c>
      <c r="O71" t="s">
        <v>284</v>
      </c>
      <c r="P71">
        <v>18</v>
      </c>
      <c r="Q71" s="7">
        <v>20</v>
      </c>
      <c r="R71">
        <v>0.11</v>
      </c>
      <c r="S71">
        <f t="shared" si="11"/>
        <v>39.6</v>
      </c>
      <c r="Y71" t="s">
        <v>37</v>
      </c>
      <c r="Z71">
        <f>SUM(Z3:Z70)-195-1400-820</f>
        <v>-18.879999999999654</v>
      </c>
    </row>
    <row r="72" spans="1:28">
      <c r="A72" t="s">
        <v>272</v>
      </c>
      <c r="B72">
        <v>33</v>
      </c>
      <c r="C72">
        <v>76</v>
      </c>
      <c r="D72">
        <v>0.11</v>
      </c>
      <c r="E72">
        <f t="shared" si="13"/>
        <v>275.88</v>
      </c>
      <c r="H72" t="s">
        <v>584</v>
      </c>
      <c r="I72">
        <v>1</v>
      </c>
      <c r="J72">
        <v>4</v>
      </c>
      <c r="K72">
        <v>0.11</v>
      </c>
      <c r="L72">
        <f t="shared" si="12"/>
        <v>0.44</v>
      </c>
      <c r="O72" t="s">
        <v>285</v>
      </c>
      <c r="P72">
        <v>15</v>
      </c>
      <c r="Q72" s="7">
        <v>16</v>
      </c>
      <c r="R72">
        <v>0.11</v>
      </c>
      <c r="S72">
        <f t="shared" si="11"/>
        <v>26.4</v>
      </c>
      <c r="Y72" t="s">
        <v>38</v>
      </c>
      <c r="Z72">
        <f>SUM(Z2:Z70)</f>
        <v>2396.1200000000003</v>
      </c>
    </row>
    <row r="73" spans="1:28">
      <c r="A73" t="s">
        <v>982</v>
      </c>
      <c r="B73">
        <v>33</v>
      </c>
      <c r="C73">
        <v>72</v>
      </c>
      <c r="D73">
        <v>0.11</v>
      </c>
      <c r="E73">
        <f t="shared" si="13"/>
        <v>261.36</v>
      </c>
      <c r="H73" t="s">
        <v>585</v>
      </c>
      <c r="I73">
        <v>30</v>
      </c>
      <c r="J73">
        <v>40</v>
      </c>
      <c r="K73">
        <v>0.11</v>
      </c>
      <c r="L73">
        <f t="shared" ref="L73:L80" si="14">K73*J73*I73</f>
        <v>132</v>
      </c>
      <c r="O73" t="s">
        <v>286</v>
      </c>
      <c r="P73">
        <v>15</v>
      </c>
      <c r="Q73" s="7">
        <v>28</v>
      </c>
      <c r="R73">
        <v>0.11</v>
      </c>
      <c r="S73">
        <f t="shared" ref="S73:S82" si="15">R73*Q73*P73</f>
        <v>46.2</v>
      </c>
      <c r="Z73">
        <f>SUM(Z3:Z70)-AD3</f>
        <v>363.12000000000035</v>
      </c>
      <c r="AA73" s="17" t="s">
        <v>174</v>
      </c>
      <c r="AB73" s="18">
        <v>365</v>
      </c>
    </row>
    <row r="74" spans="1:28">
      <c r="A74" t="s">
        <v>987</v>
      </c>
      <c r="B74">
        <v>1</v>
      </c>
      <c r="C74">
        <v>217</v>
      </c>
      <c r="D74">
        <v>0.11</v>
      </c>
      <c r="E74">
        <f t="shared" si="13"/>
        <v>23.87</v>
      </c>
      <c r="H74" t="s">
        <v>586</v>
      </c>
      <c r="K74">
        <v>0.11</v>
      </c>
      <c r="L74">
        <f t="shared" si="14"/>
        <v>0</v>
      </c>
      <c r="O74" t="s">
        <v>289</v>
      </c>
      <c r="P74">
        <v>2</v>
      </c>
      <c r="Q74" s="7">
        <v>28</v>
      </c>
      <c r="R74">
        <v>0.11</v>
      </c>
      <c r="S74">
        <f t="shared" si="15"/>
        <v>6.16</v>
      </c>
      <c r="Z74" t="s">
        <v>204</v>
      </c>
      <c r="AB74">
        <f>Z73-AB73</f>
        <v>-1.8799999999996544</v>
      </c>
    </row>
    <row r="75" spans="1:28">
      <c r="A75" t="s">
        <v>988</v>
      </c>
      <c r="B75">
        <v>1</v>
      </c>
      <c r="C75">
        <v>36</v>
      </c>
      <c r="D75">
        <v>0.11</v>
      </c>
      <c r="E75">
        <f t="shared" si="13"/>
        <v>3.96</v>
      </c>
      <c r="H75" t="s">
        <v>590</v>
      </c>
      <c r="I75">
        <v>18</v>
      </c>
      <c r="J75">
        <v>16</v>
      </c>
      <c r="K75">
        <v>0.11</v>
      </c>
      <c r="L75">
        <f t="shared" si="14"/>
        <v>31.68</v>
      </c>
      <c r="Q75" t="s">
        <v>293</v>
      </c>
    </row>
    <row r="76" spans="1:28">
      <c r="A76" t="s">
        <v>1005</v>
      </c>
      <c r="B76">
        <v>1</v>
      </c>
      <c r="C76">
        <v>8</v>
      </c>
      <c r="D76">
        <v>0.11</v>
      </c>
      <c r="E76">
        <f t="shared" si="13"/>
        <v>0.88</v>
      </c>
      <c r="H76" t="s">
        <v>591</v>
      </c>
      <c r="I76">
        <v>18</v>
      </c>
      <c r="J76">
        <v>20</v>
      </c>
      <c r="K76">
        <v>0.11</v>
      </c>
      <c r="L76">
        <f t="shared" si="14"/>
        <v>39.6</v>
      </c>
      <c r="O76" t="s">
        <v>294</v>
      </c>
      <c r="P76">
        <v>1</v>
      </c>
      <c r="Q76" s="7">
        <v>128</v>
      </c>
      <c r="R76">
        <v>0.11</v>
      </c>
      <c r="S76">
        <f t="shared" si="15"/>
        <v>14.08</v>
      </c>
    </row>
    <row r="77" spans="1:28">
      <c r="A77" t="s">
        <v>1006</v>
      </c>
      <c r="B77">
        <v>33</v>
      </c>
      <c r="C77">
        <v>20</v>
      </c>
      <c r="D77">
        <v>0.11</v>
      </c>
      <c r="E77">
        <f t="shared" si="13"/>
        <v>72.600000000000009</v>
      </c>
      <c r="H77" t="s">
        <v>619</v>
      </c>
      <c r="I77">
        <v>32</v>
      </c>
      <c r="J77">
        <v>30</v>
      </c>
      <c r="K77">
        <v>0.11</v>
      </c>
      <c r="L77">
        <f t="shared" si="14"/>
        <v>105.6</v>
      </c>
      <c r="O77" t="s">
        <v>295</v>
      </c>
      <c r="P77">
        <v>15</v>
      </c>
      <c r="Q77" s="7">
        <v>16</v>
      </c>
      <c r="R77">
        <v>0.11</v>
      </c>
      <c r="S77">
        <f t="shared" si="15"/>
        <v>26.4</v>
      </c>
    </row>
    <row r="78" spans="1:28">
      <c r="A78" t="s">
        <v>1007</v>
      </c>
      <c r="B78">
        <v>1</v>
      </c>
      <c r="C78">
        <v>105</v>
      </c>
      <c r="D78">
        <v>0.11</v>
      </c>
      <c r="E78">
        <f t="shared" si="13"/>
        <v>11.55</v>
      </c>
      <c r="H78" t="s">
        <v>620</v>
      </c>
      <c r="I78">
        <v>28</v>
      </c>
      <c r="J78">
        <v>30</v>
      </c>
      <c r="K78">
        <v>0.11</v>
      </c>
      <c r="L78">
        <f t="shared" si="14"/>
        <v>92.399999999999991</v>
      </c>
      <c r="O78" t="s">
        <v>296</v>
      </c>
      <c r="P78">
        <v>15</v>
      </c>
      <c r="Q78" s="7">
        <v>12</v>
      </c>
      <c r="R78">
        <v>0.11</v>
      </c>
      <c r="S78">
        <f t="shared" si="15"/>
        <v>19.8</v>
      </c>
    </row>
    <row r="79" spans="1:28">
      <c r="A79" t="s">
        <v>1008</v>
      </c>
      <c r="B79">
        <v>1</v>
      </c>
      <c r="C79">
        <v>28</v>
      </c>
      <c r="D79">
        <v>0.11</v>
      </c>
      <c r="E79">
        <f t="shared" si="13"/>
        <v>3.08</v>
      </c>
      <c r="H79" t="s">
        <v>621</v>
      </c>
      <c r="I79">
        <v>100</v>
      </c>
      <c r="J79">
        <v>2</v>
      </c>
      <c r="K79">
        <v>0.11</v>
      </c>
      <c r="L79">
        <f t="shared" si="14"/>
        <v>22</v>
      </c>
      <c r="O79" t="s">
        <v>297</v>
      </c>
      <c r="P79">
        <v>15</v>
      </c>
      <c r="Q79">
        <v>8</v>
      </c>
      <c r="R79">
        <v>0.11</v>
      </c>
      <c r="S79">
        <f t="shared" si="15"/>
        <v>13.2</v>
      </c>
    </row>
    <row r="80" spans="1:28">
      <c r="A80" t="s">
        <v>1024</v>
      </c>
      <c r="B80">
        <v>33</v>
      </c>
      <c r="C80">
        <v>16</v>
      </c>
      <c r="D80">
        <v>0.11</v>
      </c>
      <c r="E80">
        <f t="shared" si="13"/>
        <v>58.08</v>
      </c>
      <c r="H80" t="s">
        <v>622</v>
      </c>
      <c r="I80">
        <v>84</v>
      </c>
      <c r="J80">
        <v>1</v>
      </c>
      <c r="K80">
        <v>0.11</v>
      </c>
      <c r="L80">
        <f t="shared" si="14"/>
        <v>9.24</v>
      </c>
      <c r="O80" t="s">
        <v>305</v>
      </c>
      <c r="P80">
        <v>15</v>
      </c>
      <c r="Q80" s="7">
        <v>16</v>
      </c>
      <c r="R80">
        <v>0.11</v>
      </c>
      <c r="S80">
        <f t="shared" si="15"/>
        <v>26.4</v>
      </c>
    </row>
    <row r="81" spans="1:25">
      <c r="A81" t="s">
        <v>1054</v>
      </c>
      <c r="B81">
        <v>25</v>
      </c>
      <c r="C81">
        <v>12</v>
      </c>
      <c r="D81">
        <v>0.11</v>
      </c>
      <c r="E81">
        <f t="shared" si="13"/>
        <v>33</v>
      </c>
      <c r="H81" t="s">
        <v>624</v>
      </c>
      <c r="I81">
        <v>30</v>
      </c>
      <c r="J81">
        <v>12</v>
      </c>
      <c r="K81">
        <v>0.11</v>
      </c>
      <c r="L81">
        <f t="shared" ref="L81:L91" si="16">K81*J81*I81</f>
        <v>39.6</v>
      </c>
      <c r="O81" t="s">
        <v>306</v>
      </c>
      <c r="P81">
        <v>1</v>
      </c>
      <c r="Q81" s="7">
        <v>30</v>
      </c>
      <c r="R81">
        <v>0.11</v>
      </c>
      <c r="S81">
        <f t="shared" si="15"/>
        <v>3.3</v>
      </c>
    </row>
    <row r="82" spans="1:25">
      <c r="A82" t="s">
        <v>1056</v>
      </c>
      <c r="B82">
        <v>30</v>
      </c>
      <c r="C82">
        <v>12</v>
      </c>
      <c r="D82">
        <v>0.11</v>
      </c>
      <c r="E82">
        <f t="shared" si="13"/>
        <v>39.6</v>
      </c>
      <c r="H82" t="s">
        <v>626</v>
      </c>
      <c r="I82">
        <v>30</v>
      </c>
      <c r="J82">
        <v>8</v>
      </c>
      <c r="K82">
        <v>0.11</v>
      </c>
      <c r="L82">
        <f t="shared" si="16"/>
        <v>26.4</v>
      </c>
      <c r="O82" t="s">
        <v>307</v>
      </c>
      <c r="P82">
        <v>15</v>
      </c>
      <c r="Q82" s="7">
        <v>20</v>
      </c>
      <c r="R82">
        <v>0.11</v>
      </c>
      <c r="S82">
        <f t="shared" si="15"/>
        <v>33</v>
      </c>
    </row>
    <row r="83" spans="1:25">
      <c r="A83" t="s">
        <v>1057</v>
      </c>
      <c r="D83">
        <v>0.11</v>
      </c>
      <c r="E83">
        <v>190</v>
      </c>
      <c r="H83" t="s">
        <v>630</v>
      </c>
      <c r="I83">
        <v>30</v>
      </c>
      <c r="J83">
        <v>24</v>
      </c>
      <c r="K83">
        <v>0.11</v>
      </c>
      <c r="L83">
        <f t="shared" si="16"/>
        <v>79.2</v>
      </c>
      <c r="O83" t="s">
        <v>309</v>
      </c>
      <c r="P83">
        <v>15</v>
      </c>
      <c r="Q83" s="7">
        <v>12</v>
      </c>
      <c r="R83">
        <v>0.11</v>
      </c>
      <c r="S83">
        <f t="shared" ref="S83:S88" si="17">R83*Q83*P83</f>
        <v>19.8</v>
      </c>
    </row>
    <row r="84" spans="1:25">
      <c r="A84" t="s">
        <v>1078</v>
      </c>
      <c r="B84">
        <v>12</v>
      </c>
      <c r="C84">
        <v>25</v>
      </c>
      <c r="D84">
        <v>0.11</v>
      </c>
      <c r="E84">
        <f t="shared" si="13"/>
        <v>33</v>
      </c>
      <c r="H84" t="s">
        <v>631</v>
      </c>
      <c r="I84">
        <v>30</v>
      </c>
      <c r="J84">
        <v>24</v>
      </c>
      <c r="K84">
        <v>0.11</v>
      </c>
      <c r="L84">
        <f t="shared" si="16"/>
        <v>79.2</v>
      </c>
      <c r="O84" t="s">
        <v>308</v>
      </c>
      <c r="P84">
        <v>15</v>
      </c>
      <c r="Q84" s="7">
        <v>12</v>
      </c>
      <c r="R84">
        <v>0.11</v>
      </c>
      <c r="S84">
        <f t="shared" si="17"/>
        <v>19.8</v>
      </c>
    </row>
    <row r="85" spans="1:25">
      <c r="A85" t="s">
        <v>1077</v>
      </c>
      <c r="B85">
        <v>1</v>
      </c>
      <c r="C85">
        <v>20</v>
      </c>
      <c r="D85">
        <v>0.11</v>
      </c>
      <c r="E85">
        <f t="shared" si="13"/>
        <v>2.2000000000000002</v>
      </c>
      <c r="H85" t="s">
        <v>633</v>
      </c>
      <c r="I85">
        <v>30</v>
      </c>
      <c r="J85">
        <v>20</v>
      </c>
      <c r="K85">
        <v>0.11</v>
      </c>
      <c r="L85">
        <f t="shared" si="16"/>
        <v>66</v>
      </c>
      <c r="O85" t="s">
        <v>347</v>
      </c>
      <c r="P85">
        <v>15</v>
      </c>
      <c r="Q85" s="7">
        <v>1</v>
      </c>
      <c r="R85">
        <v>0.11</v>
      </c>
      <c r="S85">
        <f t="shared" si="17"/>
        <v>1.65</v>
      </c>
    </row>
    <row r="86" spans="1:25">
      <c r="A86" t="s">
        <v>1081</v>
      </c>
      <c r="B86">
        <v>25</v>
      </c>
      <c r="C86">
        <v>4</v>
      </c>
      <c r="D86">
        <v>0.11</v>
      </c>
      <c r="E86">
        <f t="shared" si="13"/>
        <v>11</v>
      </c>
      <c r="H86" t="s">
        <v>639</v>
      </c>
      <c r="I86">
        <v>30</v>
      </c>
      <c r="J86">
        <v>20</v>
      </c>
      <c r="K86">
        <v>0.11</v>
      </c>
      <c r="L86">
        <f t="shared" si="16"/>
        <v>66</v>
      </c>
      <c r="O86" t="s">
        <v>346</v>
      </c>
      <c r="P86">
        <v>15</v>
      </c>
      <c r="Q86" s="7">
        <v>16</v>
      </c>
      <c r="R86">
        <v>0.11</v>
      </c>
      <c r="S86">
        <f t="shared" si="17"/>
        <v>26.4</v>
      </c>
    </row>
    <row r="87" spans="1:25">
      <c r="A87" t="s">
        <v>1123</v>
      </c>
      <c r="B87">
        <v>51</v>
      </c>
      <c r="C87">
        <v>1</v>
      </c>
      <c r="D87">
        <v>0.11</v>
      </c>
      <c r="E87">
        <f t="shared" si="13"/>
        <v>5.61</v>
      </c>
      <c r="H87" t="s">
        <v>640</v>
      </c>
      <c r="I87">
        <v>22</v>
      </c>
      <c r="J87">
        <v>4</v>
      </c>
      <c r="K87">
        <v>0.11</v>
      </c>
      <c r="L87">
        <f t="shared" si="16"/>
        <v>9.68</v>
      </c>
      <c r="O87" t="s">
        <v>351</v>
      </c>
      <c r="P87">
        <v>14</v>
      </c>
      <c r="Q87" s="7">
        <v>28</v>
      </c>
      <c r="R87">
        <v>0.11</v>
      </c>
      <c r="S87">
        <f t="shared" si="17"/>
        <v>43.120000000000005</v>
      </c>
    </row>
    <row r="88" spans="1:25">
      <c r="A88" t="s">
        <v>1124</v>
      </c>
      <c r="B88">
        <v>48</v>
      </c>
      <c r="C88">
        <v>1</v>
      </c>
      <c r="D88">
        <v>0.11</v>
      </c>
      <c r="E88">
        <f t="shared" ref="E88:E95" si="18">D88*C88*B88</f>
        <v>5.28</v>
      </c>
      <c r="H88" t="s">
        <v>646</v>
      </c>
      <c r="I88">
        <v>2</v>
      </c>
      <c r="J88">
        <v>42</v>
      </c>
      <c r="K88">
        <v>0.11</v>
      </c>
      <c r="L88">
        <f t="shared" si="16"/>
        <v>9.24</v>
      </c>
      <c r="O88" t="s">
        <v>352</v>
      </c>
      <c r="P88">
        <v>14</v>
      </c>
      <c r="Q88" s="7">
        <v>24</v>
      </c>
      <c r="R88">
        <v>0.11</v>
      </c>
      <c r="S88">
        <f t="shared" si="17"/>
        <v>36.96</v>
      </c>
    </row>
    <row r="89" spans="1:25">
      <c r="A89" t="s">
        <v>1126</v>
      </c>
      <c r="B89">
        <v>41</v>
      </c>
      <c r="C89">
        <v>32</v>
      </c>
      <c r="D89">
        <v>0.11</v>
      </c>
      <c r="E89">
        <f t="shared" si="18"/>
        <v>144.32</v>
      </c>
      <c r="H89" t="s">
        <v>650</v>
      </c>
      <c r="I89">
        <v>25</v>
      </c>
      <c r="J89">
        <v>12</v>
      </c>
      <c r="K89">
        <v>0.11</v>
      </c>
      <c r="L89">
        <f t="shared" si="16"/>
        <v>33</v>
      </c>
      <c r="Q89" s="7"/>
    </row>
    <row r="90" spans="1:25">
      <c r="A90" t="s">
        <v>1127</v>
      </c>
      <c r="B90">
        <v>35</v>
      </c>
      <c r="C90">
        <v>16</v>
      </c>
      <c r="D90">
        <v>0.11</v>
      </c>
      <c r="E90">
        <f t="shared" si="18"/>
        <v>61.6</v>
      </c>
      <c r="H90" t="s">
        <v>651</v>
      </c>
      <c r="I90">
        <v>25</v>
      </c>
      <c r="J90">
        <v>12</v>
      </c>
      <c r="K90">
        <v>0.11</v>
      </c>
      <c r="L90">
        <f t="shared" si="16"/>
        <v>33</v>
      </c>
      <c r="Q90" s="7"/>
    </row>
    <row r="91" spans="1:25">
      <c r="A91" t="s">
        <v>1132</v>
      </c>
      <c r="B91">
        <v>35</v>
      </c>
      <c r="C91">
        <v>24</v>
      </c>
      <c r="D91">
        <v>0.11</v>
      </c>
      <c r="E91">
        <f t="shared" si="18"/>
        <v>92.4</v>
      </c>
      <c r="H91" t="s">
        <v>652</v>
      </c>
      <c r="I91">
        <v>25</v>
      </c>
      <c r="J91">
        <v>8</v>
      </c>
      <c r="K91">
        <v>0.11</v>
      </c>
      <c r="L91">
        <f t="shared" si="16"/>
        <v>22</v>
      </c>
      <c r="W91" t="s">
        <v>181</v>
      </c>
      <c r="X91">
        <v>8894</v>
      </c>
      <c r="Y91" t="s">
        <v>182</v>
      </c>
    </row>
    <row r="92" spans="1:25">
      <c r="A92" s="19" t="s">
        <v>913</v>
      </c>
      <c r="B92">
        <v>40</v>
      </c>
      <c r="C92">
        <v>2</v>
      </c>
      <c r="D92">
        <v>0.11</v>
      </c>
      <c r="E92">
        <f t="shared" si="18"/>
        <v>8.8000000000000007</v>
      </c>
      <c r="L92">
        <f>SUM(L3:L91)+S92-400-1000-500-800-600</f>
        <v>103.48999999999842</v>
      </c>
      <c r="R92" t="s">
        <v>37</v>
      </c>
      <c r="S92">
        <f>SUM(S3:S91)-800-800-100-250</f>
        <v>37.809999999999945</v>
      </c>
    </row>
    <row r="93" spans="1:25">
      <c r="A93" t="s">
        <v>1134</v>
      </c>
      <c r="B93">
        <v>100</v>
      </c>
      <c r="C93">
        <v>6</v>
      </c>
      <c r="D93">
        <v>0.11</v>
      </c>
      <c r="E93">
        <f t="shared" si="18"/>
        <v>66</v>
      </c>
      <c r="K93" t="s">
        <v>38</v>
      </c>
      <c r="L93">
        <f>SUM(L2:L91)</f>
        <v>3365.6799999999985</v>
      </c>
      <c r="R93" t="s">
        <v>38</v>
      </c>
      <c r="S93">
        <f>SUM(S2:S91)</f>
        <v>1987.81</v>
      </c>
    </row>
    <row r="94" spans="1:25">
      <c r="A94" t="s">
        <v>1135</v>
      </c>
      <c r="B94">
        <v>35</v>
      </c>
      <c r="C94">
        <v>24</v>
      </c>
      <c r="D94">
        <v>0.11</v>
      </c>
      <c r="E94">
        <f t="shared" si="18"/>
        <v>92.4</v>
      </c>
      <c r="L94">
        <f>SUM(L3:L91)-N3</f>
        <v>478.88999999999851</v>
      </c>
      <c r="S94">
        <f>SUM(S3:S91)-U3</f>
        <v>-1700.4899999999998</v>
      </c>
    </row>
    <row r="95" spans="1:25">
      <c r="A95" t="s">
        <v>1140</v>
      </c>
      <c r="B95">
        <v>35</v>
      </c>
      <c r="C95">
        <v>12</v>
      </c>
      <c r="D95">
        <v>0.11</v>
      </c>
      <c r="E95">
        <f t="shared" si="18"/>
        <v>46.2</v>
      </c>
    </row>
    <row r="96" spans="1:25">
      <c r="A96" t="s">
        <v>1057</v>
      </c>
      <c r="B96">
        <v>150</v>
      </c>
      <c r="C96">
        <v>2.5</v>
      </c>
      <c r="E96">
        <f>B96*C96</f>
        <v>375</v>
      </c>
    </row>
    <row r="97" spans="1:5">
      <c r="A97" t="s">
        <v>1144</v>
      </c>
      <c r="B97">
        <v>35</v>
      </c>
      <c r="C97">
        <v>12</v>
      </c>
      <c r="D97">
        <v>0.11</v>
      </c>
      <c r="E97">
        <f>D97*C97*B97</f>
        <v>46.2</v>
      </c>
    </row>
    <row r="98" spans="1:5">
      <c r="A98" t="s">
        <v>1148</v>
      </c>
      <c r="B98">
        <v>120</v>
      </c>
      <c r="C98">
        <v>6</v>
      </c>
      <c r="D98">
        <v>0.11</v>
      </c>
      <c r="E98">
        <f>D98*C98*B98</f>
        <v>79.2</v>
      </c>
    </row>
    <row r="99" spans="1:5">
      <c r="A99" t="s">
        <v>1162</v>
      </c>
      <c r="B99">
        <v>40</v>
      </c>
      <c r="C99">
        <v>24</v>
      </c>
      <c r="D99">
        <v>0.11</v>
      </c>
      <c r="E99">
        <f>D99*C99*B99</f>
        <v>105.60000000000001</v>
      </c>
    </row>
    <row r="100" spans="1:5">
      <c r="A100" t="s">
        <v>1163</v>
      </c>
      <c r="B100">
        <v>30</v>
      </c>
      <c r="C100">
        <v>8</v>
      </c>
      <c r="D100">
        <v>0.11</v>
      </c>
      <c r="E100">
        <f>D100*C100*B100</f>
        <v>26.4</v>
      </c>
    </row>
    <row r="101" spans="1:5">
      <c r="A101" t="s">
        <v>1134</v>
      </c>
      <c r="E101">
        <v>5.94</v>
      </c>
    </row>
    <row r="102" spans="1:5">
      <c r="A102" t="s">
        <v>1134</v>
      </c>
      <c r="E102">
        <v>29.7</v>
      </c>
    </row>
    <row r="103" spans="1:5">
      <c r="A103" t="s">
        <v>1134</v>
      </c>
      <c r="B103">
        <v>1</v>
      </c>
      <c r="C103">
        <v>20</v>
      </c>
      <c r="D103">
        <v>0.11</v>
      </c>
      <c r="E103">
        <f>D103*C103*B103+1.2</f>
        <v>3.4000000000000004</v>
      </c>
    </row>
    <row r="104" spans="1:5">
      <c r="A104" t="s">
        <v>1215</v>
      </c>
      <c r="B104">
        <v>1</v>
      </c>
      <c r="C104">
        <v>28</v>
      </c>
      <c r="D104">
        <v>0.11</v>
      </c>
      <c r="E104">
        <f>D104*C104*B104</f>
        <v>3.08</v>
      </c>
    </row>
    <row r="105" spans="1:5">
      <c r="A105" t="s">
        <v>758</v>
      </c>
      <c r="E105">
        <v>400</v>
      </c>
    </row>
    <row r="106" spans="1:5">
      <c r="A106" t="s">
        <v>758</v>
      </c>
      <c r="E106">
        <v>300</v>
      </c>
    </row>
    <row r="107" spans="1:5">
      <c r="A107" t="s">
        <v>1225</v>
      </c>
      <c r="B107">
        <v>1</v>
      </c>
      <c r="C107">
        <v>365</v>
      </c>
      <c r="D107">
        <v>0.11</v>
      </c>
      <c r="E107">
        <f>D107*C107*B107</f>
        <v>40.15</v>
      </c>
    </row>
    <row r="108" spans="1:5">
      <c r="A108" t="s">
        <v>1226</v>
      </c>
      <c r="B108">
        <v>1</v>
      </c>
      <c r="C108">
        <v>700</v>
      </c>
      <c r="D108">
        <v>0.11</v>
      </c>
      <c r="E108">
        <f>D108*C108*B108</f>
        <v>77</v>
      </c>
    </row>
    <row r="109" spans="1:5">
      <c r="A109" t="s">
        <v>758</v>
      </c>
      <c r="E109">
        <v>240</v>
      </c>
    </row>
    <row r="110" spans="1:5">
      <c r="A110" t="s">
        <v>1234</v>
      </c>
      <c r="B110">
        <v>1</v>
      </c>
      <c r="C110">
        <v>56</v>
      </c>
      <c r="D110">
        <v>0.11</v>
      </c>
      <c r="E110">
        <f t="shared" ref="E110:E115" si="19">D110*C110*B110</f>
        <v>6.16</v>
      </c>
    </row>
    <row r="111" spans="1:5">
      <c r="A111" t="s">
        <v>1235</v>
      </c>
      <c r="B111">
        <v>1</v>
      </c>
      <c r="C111">
        <v>124</v>
      </c>
      <c r="D111">
        <v>0.11</v>
      </c>
      <c r="E111">
        <f t="shared" si="19"/>
        <v>13.64</v>
      </c>
    </row>
    <row r="112" spans="1:5">
      <c r="A112" t="s">
        <v>1244</v>
      </c>
      <c r="B112">
        <v>1</v>
      </c>
      <c r="C112">
        <v>107</v>
      </c>
      <c r="D112">
        <v>0.11</v>
      </c>
      <c r="E112">
        <f t="shared" si="19"/>
        <v>11.77</v>
      </c>
    </row>
    <row r="113" spans="1:5">
      <c r="A113" t="s">
        <v>1246</v>
      </c>
      <c r="B113">
        <v>1</v>
      </c>
      <c r="C113">
        <f>13+5</f>
        <v>18</v>
      </c>
      <c r="D113">
        <v>1.5</v>
      </c>
      <c r="E113">
        <f t="shared" si="19"/>
        <v>27</v>
      </c>
    </row>
    <row r="114" spans="1:5">
      <c r="A114" t="s">
        <v>1245</v>
      </c>
      <c r="B114">
        <v>1</v>
      </c>
      <c r="C114">
        <v>39</v>
      </c>
      <c r="D114">
        <v>0.11</v>
      </c>
      <c r="E114">
        <f t="shared" si="19"/>
        <v>4.29</v>
      </c>
    </row>
    <row r="115" spans="1:5">
      <c r="A115" t="s">
        <v>1244</v>
      </c>
      <c r="B115">
        <v>1</v>
      </c>
      <c r="C115">
        <v>41</v>
      </c>
      <c r="D115">
        <v>0.11</v>
      </c>
      <c r="E115">
        <f t="shared" si="19"/>
        <v>4.51</v>
      </c>
    </row>
    <row r="116" spans="1:5">
      <c r="A116" t="s">
        <v>1245</v>
      </c>
      <c r="E116">
        <v>7</v>
      </c>
    </row>
    <row r="117" spans="1:5">
      <c r="A117" t="s">
        <v>1312</v>
      </c>
      <c r="B117">
        <v>1</v>
      </c>
      <c r="C117">
        <v>32</v>
      </c>
      <c r="D117">
        <v>0.11</v>
      </c>
      <c r="E117">
        <f t="shared" ref="E117:E125" si="20">D117*C117*B117</f>
        <v>3.52</v>
      </c>
    </row>
    <row r="118" spans="1:5">
      <c r="A118" t="s">
        <v>1323</v>
      </c>
      <c r="B118">
        <v>1</v>
      </c>
      <c r="C118">
        <v>176</v>
      </c>
      <c r="D118">
        <v>0.11</v>
      </c>
      <c r="E118">
        <f t="shared" si="20"/>
        <v>19.36</v>
      </c>
    </row>
    <row r="119" spans="1:5">
      <c r="A119" t="s">
        <v>1327</v>
      </c>
      <c r="B119">
        <v>1</v>
      </c>
      <c r="C119">
        <v>128</v>
      </c>
      <c r="D119">
        <v>0.11</v>
      </c>
      <c r="E119">
        <f t="shared" si="20"/>
        <v>14.08</v>
      </c>
    </row>
    <row r="120" spans="1:5">
      <c r="A120" t="s">
        <v>163</v>
      </c>
      <c r="B120" s="7">
        <v>1</v>
      </c>
      <c r="C120" s="7">
        <v>240</v>
      </c>
      <c r="D120" s="7">
        <v>0.11</v>
      </c>
      <c r="E120">
        <f t="shared" si="20"/>
        <v>26.4</v>
      </c>
    </row>
    <row r="121" spans="1:5">
      <c r="A121" t="s">
        <v>1328</v>
      </c>
      <c r="B121" s="7">
        <v>1</v>
      </c>
      <c r="C121" s="7">
        <v>52</v>
      </c>
      <c r="D121" s="7">
        <v>0.11</v>
      </c>
      <c r="E121">
        <f t="shared" si="20"/>
        <v>5.72</v>
      </c>
    </row>
    <row r="122" spans="1:5">
      <c r="A122" t="s">
        <v>756</v>
      </c>
      <c r="B122" s="7">
        <v>1</v>
      </c>
      <c r="C122" s="7">
        <v>60</v>
      </c>
      <c r="D122" s="7">
        <v>0.11</v>
      </c>
      <c r="E122">
        <f t="shared" si="20"/>
        <v>6.6</v>
      </c>
    </row>
    <row r="123" spans="1:5">
      <c r="A123" t="s">
        <v>1336</v>
      </c>
      <c r="B123" s="7">
        <v>1</v>
      </c>
      <c r="C123" s="7">
        <v>34</v>
      </c>
      <c r="D123" s="7">
        <v>0.11</v>
      </c>
      <c r="E123">
        <f t="shared" si="20"/>
        <v>3.74</v>
      </c>
    </row>
    <row r="124" spans="1:5">
      <c r="A124" t="s">
        <v>585</v>
      </c>
      <c r="B124" s="7">
        <v>10</v>
      </c>
      <c r="C124" s="7">
        <v>12</v>
      </c>
      <c r="D124" s="7">
        <v>0.11</v>
      </c>
      <c r="E124">
        <f t="shared" si="20"/>
        <v>13.200000000000001</v>
      </c>
    </row>
    <row r="125" spans="1:5">
      <c r="A125" t="s">
        <v>1368</v>
      </c>
      <c r="B125" s="7">
        <v>1</v>
      </c>
      <c r="C125" s="7">
        <v>148</v>
      </c>
      <c r="D125" s="7">
        <v>0.11</v>
      </c>
      <c r="E125">
        <f t="shared" si="20"/>
        <v>16.28</v>
      </c>
    </row>
    <row r="126" spans="1:5">
      <c r="A126" t="s">
        <v>1475</v>
      </c>
      <c r="B126" s="7"/>
      <c r="C126" s="7"/>
      <c r="D126" s="7"/>
      <c r="E126">
        <v>1</v>
      </c>
    </row>
    <row r="127" spans="1:5">
      <c r="A127" t="s">
        <v>1589</v>
      </c>
      <c r="B127" s="7">
        <v>1</v>
      </c>
      <c r="C127" s="7">
        <v>171</v>
      </c>
      <c r="D127" s="7">
        <v>0.11</v>
      </c>
      <c r="E127">
        <f t="shared" ref="E127:E134" si="21">D127*C127*B127</f>
        <v>18.809999999999999</v>
      </c>
    </row>
    <row r="128" spans="1:5">
      <c r="A128" t="s">
        <v>1595</v>
      </c>
      <c r="B128" s="7">
        <v>1</v>
      </c>
      <c r="C128" s="7">
        <v>3</v>
      </c>
      <c r="D128" s="7">
        <v>0.11</v>
      </c>
      <c r="E128">
        <f t="shared" si="21"/>
        <v>0.33</v>
      </c>
    </row>
    <row r="129" spans="1:5">
      <c r="A129" t="s">
        <v>1622</v>
      </c>
      <c r="B129" s="7">
        <v>1</v>
      </c>
      <c r="C129" s="7">
        <v>76</v>
      </c>
      <c r="D129" s="7">
        <v>0.11</v>
      </c>
      <c r="E129">
        <f t="shared" si="21"/>
        <v>8.36</v>
      </c>
    </row>
    <row r="130" spans="1:5">
      <c r="A130" t="s">
        <v>1629</v>
      </c>
      <c r="B130" s="7">
        <v>1</v>
      </c>
      <c r="C130" s="7">
        <v>200</v>
      </c>
      <c r="D130" s="7">
        <v>0.11</v>
      </c>
      <c r="E130">
        <f t="shared" si="21"/>
        <v>22</v>
      </c>
    </row>
    <row r="131" spans="1:5">
      <c r="A131" t="s">
        <v>1644</v>
      </c>
      <c r="B131" s="7">
        <v>1</v>
      </c>
      <c r="C131" s="7">
        <f>94+74+23+40+32+162</f>
        <v>425</v>
      </c>
      <c r="D131" s="7">
        <v>0.11</v>
      </c>
      <c r="E131">
        <f t="shared" si="21"/>
        <v>46.75</v>
      </c>
    </row>
    <row r="132" spans="1:5">
      <c r="A132" t="s">
        <v>1647</v>
      </c>
      <c r="B132" s="7">
        <v>1</v>
      </c>
      <c r="C132" s="7">
        <f>56+20+16+36+20+48</f>
        <v>196</v>
      </c>
      <c r="D132" s="7">
        <v>0.11</v>
      </c>
      <c r="E132">
        <f t="shared" si="21"/>
        <v>21.56</v>
      </c>
    </row>
    <row r="133" spans="1:5">
      <c r="A133" t="s">
        <v>1669</v>
      </c>
      <c r="B133" s="7">
        <v>1</v>
      </c>
      <c r="C133" s="7"/>
      <c r="D133" s="7"/>
      <c r="E133">
        <v>35</v>
      </c>
    </row>
    <row r="134" spans="1:5">
      <c r="A134" t="s">
        <v>1670</v>
      </c>
      <c r="B134" s="7">
        <f>15+18</f>
        <v>33</v>
      </c>
      <c r="C134" s="7">
        <v>28</v>
      </c>
      <c r="D134" s="7">
        <v>0.11</v>
      </c>
      <c r="E134">
        <f t="shared" si="21"/>
        <v>101.64</v>
      </c>
    </row>
    <row r="135" spans="1:5">
      <c r="A135" t="s">
        <v>1647</v>
      </c>
      <c r="B135" s="7">
        <v>1</v>
      </c>
      <c r="C135" s="7">
        <v>132</v>
      </c>
      <c r="D135" s="7">
        <v>0.11</v>
      </c>
      <c r="E135">
        <f>D135*C135*B135</f>
        <v>14.52</v>
      </c>
    </row>
    <row r="136" spans="1:5">
      <c r="A136" t="s">
        <v>1323</v>
      </c>
      <c r="B136" s="7">
        <v>1</v>
      </c>
      <c r="C136" s="7">
        <v>218</v>
      </c>
      <c r="D136" s="7">
        <v>0.11</v>
      </c>
      <c r="E136">
        <f>D136*C136*B136</f>
        <v>23.98</v>
      </c>
    </row>
    <row r="137" spans="1:5">
      <c r="A137" t="s">
        <v>1669</v>
      </c>
      <c r="B137" s="7"/>
      <c r="C137" s="7"/>
      <c r="D137" s="7"/>
      <c r="E137">
        <v>4</v>
      </c>
    </row>
    <row r="138" spans="1:5">
      <c r="A138" t="s">
        <v>1709</v>
      </c>
      <c r="B138" s="7">
        <v>1</v>
      </c>
      <c r="C138" s="7">
        <f>32+20+16+4</f>
        <v>72</v>
      </c>
      <c r="D138" s="7">
        <v>0.11</v>
      </c>
      <c r="E138">
        <f t="shared" ref="E138:E145" si="22">D138*C138*B138</f>
        <v>7.92</v>
      </c>
    </row>
    <row r="139" spans="1:5">
      <c r="A139" t="s">
        <v>1710</v>
      </c>
      <c r="B139" s="7">
        <v>1</v>
      </c>
      <c r="C139" s="7">
        <v>120</v>
      </c>
      <c r="D139" s="7">
        <v>0.11</v>
      </c>
      <c r="E139">
        <f t="shared" si="22"/>
        <v>13.2</v>
      </c>
    </row>
    <row r="140" spans="1:5">
      <c r="A140" t="s">
        <v>1670</v>
      </c>
      <c r="B140" s="7">
        <v>20</v>
      </c>
      <c r="C140" s="7">
        <v>12</v>
      </c>
      <c r="D140" s="7">
        <v>0.11</v>
      </c>
      <c r="E140">
        <f t="shared" si="22"/>
        <v>26.400000000000002</v>
      </c>
    </row>
    <row r="141" spans="1:5">
      <c r="A141" t="s">
        <v>1711</v>
      </c>
      <c r="B141" s="7">
        <v>1</v>
      </c>
      <c r="C141" s="7">
        <v>25</v>
      </c>
      <c r="D141" s="7">
        <v>0.11</v>
      </c>
      <c r="E141">
        <f t="shared" si="22"/>
        <v>2.75</v>
      </c>
    </row>
    <row r="142" spans="1:5">
      <c r="A142" t="s">
        <v>1323</v>
      </c>
      <c r="B142" s="7">
        <v>1</v>
      </c>
      <c r="C142" s="7">
        <v>246</v>
      </c>
      <c r="D142" s="7">
        <v>0.11</v>
      </c>
      <c r="E142">
        <f t="shared" si="22"/>
        <v>27.06</v>
      </c>
    </row>
    <row r="143" spans="1:5">
      <c r="A143" t="s">
        <v>1323</v>
      </c>
      <c r="B143" s="7">
        <v>30</v>
      </c>
      <c r="C143" s="7">
        <v>28</v>
      </c>
      <c r="D143" s="7">
        <v>0.11</v>
      </c>
      <c r="E143">
        <f t="shared" si="22"/>
        <v>92.4</v>
      </c>
    </row>
    <row r="144" spans="1:5">
      <c r="A144" t="s">
        <v>1323</v>
      </c>
      <c r="B144" s="7">
        <v>24</v>
      </c>
      <c r="C144" s="7">
        <v>5</v>
      </c>
      <c r="D144" s="7">
        <v>0.11</v>
      </c>
      <c r="E144">
        <f t="shared" si="22"/>
        <v>13.200000000000001</v>
      </c>
    </row>
    <row r="145" spans="1:5">
      <c r="A145" t="s">
        <v>1323</v>
      </c>
      <c r="B145" s="7">
        <v>10</v>
      </c>
      <c r="C145" s="7">
        <v>24</v>
      </c>
      <c r="D145" s="7">
        <v>0.11</v>
      </c>
      <c r="E145">
        <f t="shared" si="22"/>
        <v>26.400000000000002</v>
      </c>
    </row>
    <row r="146" spans="1:5">
      <c r="A146" t="s">
        <v>1723</v>
      </c>
      <c r="B146" s="7"/>
      <c r="C146" s="7"/>
      <c r="D146" s="7"/>
      <c r="E146">
        <f>14+14</f>
        <v>28</v>
      </c>
    </row>
    <row r="147" spans="1:5">
      <c r="A147" t="s">
        <v>1323</v>
      </c>
      <c r="B147" s="7">
        <v>20</v>
      </c>
      <c r="C147" s="7">
        <v>24</v>
      </c>
      <c r="D147" s="7">
        <v>0.11</v>
      </c>
      <c r="E147">
        <f>D147*C147*B147</f>
        <v>52.800000000000004</v>
      </c>
    </row>
    <row r="148" spans="1:5">
      <c r="A148" t="s">
        <v>1735</v>
      </c>
      <c r="B148" s="7"/>
      <c r="C148" s="7"/>
      <c r="D148" s="7"/>
      <c r="E148">
        <v>214</v>
      </c>
    </row>
    <row r="149" spans="1:5">
      <c r="A149" t="s">
        <v>1644</v>
      </c>
      <c r="B149" s="7">
        <v>1</v>
      </c>
      <c r="C149" s="7">
        <v>40</v>
      </c>
      <c r="D149" s="7">
        <v>0.11</v>
      </c>
      <c r="E149">
        <f>D149*C149*B149</f>
        <v>4.4000000000000004</v>
      </c>
    </row>
    <row r="150" spans="1:5">
      <c r="A150" t="s">
        <v>1736</v>
      </c>
      <c r="B150" s="7">
        <v>1</v>
      </c>
      <c r="C150" s="7">
        <v>16</v>
      </c>
      <c r="D150" s="7">
        <v>0.11</v>
      </c>
      <c r="E150">
        <f>D150*C150*B150</f>
        <v>1.76</v>
      </c>
    </row>
    <row r="151" spans="1:5">
      <c r="A151" t="s">
        <v>1767</v>
      </c>
      <c r="B151" s="7">
        <v>1</v>
      </c>
      <c r="C151" s="7">
        <v>26</v>
      </c>
      <c r="D151" s="7">
        <v>0.11</v>
      </c>
      <c r="E151">
        <f>D151*C151*B151</f>
        <v>2.86</v>
      </c>
    </row>
    <row r="152" spans="1:5">
      <c r="A152" t="s">
        <v>1737</v>
      </c>
      <c r="B152" s="7"/>
      <c r="C152" s="7"/>
      <c r="D152" s="7"/>
      <c r="E152">
        <v>61.2</v>
      </c>
    </row>
    <row r="153" spans="1:5">
      <c r="A153" t="s">
        <v>1768</v>
      </c>
      <c r="B153" s="7">
        <v>1</v>
      </c>
      <c r="C153" s="7">
        <v>1272</v>
      </c>
      <c r="D153" s="7">
        <v>0.11</v>
      </c>
      <c r="E153">
        <f>D153*C153*B153</f>
        <v>139.91999999999999</v>
      </c>
    </row>
    <row r="154" spans="1:5">
      <c r="A154" t="s">
        <v>1644</v>
      </c>
      <c r="B154" s="7">
        <f>168+152</f>
        <v>320</v>
      </c>
      <c r="C154" s="7">
        <v>2</v>
      </c>
      <c r="D154" s="7">
        <v>0.11</v>
      </c>
      <c r="E154">
        <f>D154*C154*B154</f>
        <v>70.400000000000006</v>
      </c>
    </row>
    <row r="155" spans="1:5">
      <c r="A155" t="s">
        <v>1735</v>
      </c>
      <c r="B155" s="7"/>
      <c r="C155" s="7"/>
      <c r="D155" s="7"/>
      <c r="E155">
        <v>194</v>
      </c>
    </row>
    <row r="156" spans="1:5">
      <c r="A156" t="s">
        <v>585</v>
      </c>
      <c r="B156" s="7">
        <v>55</v>
      </c>
      <c r="C156" s="7">
        <v>20</v>
      </c>
      <c r="D156" s="7">
        <v>0.11</v>
      </c>
      <c r="E156">
        <f t="shared" ref="E156:E161" si="23">D156*C156*B156</f>
        <v>121.00000000000001</v>
      </c>
    </row>
    <row r="157" spans="1:5">
      <c r="A157" t="s">
        <v>656</v>
      </c>
      <c r="B157" s="7">
        <v>1</v>
      </c>
      <c r="C157" s="7">
        <v>2</v>
      </c>
      <c r="D157" s="7">
        <v>0.11</v>
      </c>
      <c r="E157">
        <f t="shared" si="23"/>
        <v>0.22</v>
      </c>
    </row>
    <row r="158" spans="1:5">
      <c r="A158" t="s">
        <v>1798</v>
      </c>
      <c r="B158" s="7">
        <v>1</v>
      </c>
      <c r="C158" s="7">
        <f>44+32+12+24+20+144</f>
        <v>276</v>
      </c>
      <c r="D158" s="7">
        <v>0.11</v>
      </c>
      <c r="E158">
        <f t="shared" si="23"/>
        <v>30.36</v>
      </c>
    </row>
    <row r="159" spans="1:5">
      <c r="A159" t="s">
        <v>1804</v>
      </c>
      <c r="B159" s="7">
        <v>1</v>
      </c>
      <c r="C159" s="7">
        <v>132</v>
      </c>
      <c r="D159" s="7">
        <v>0.11</v>
      </c>
      <c r="E159">
        <f t="shared" si="23"/>
        <v>14.52</v>
      </c>
    </row>
    <row r="160" spans="1:5">
      <c r="A160" t="s">
        <v>1007</v>
      </c>
      <c r="B160" s="7">
        <v>1</v>
      </c>
      <c r="C160" s="7">
        <v>148</v>
      </c>
      <c r="D160" s="7">
        <v>0.11</v>
      </c>
      <c r="E160">
        <f t="shared" si="23"/>
        <v>16.28</v>
      </c>
    </row>
    <row r="161" spans="1:5">
      <c r="A161" t="s">
        <v>1813</v>
      </c>
      <c r="B161" s="7">
        <v>1</v>
      </c>
      <c r="C161" s="7">
        <v>268</v>
      </c>
      <c r="D161" s="7">
        <v>0.11</v>
      </c>
      <c r="E161">
        <f t="shared" si="23"/>
        <v>29.48</v>
      </c>
    </row>
    <row r="162" spans="1:5">
      <c r="A162" t="s">
        <v>1815</v>
      </c>
      <c r="B162" s="7">
        <v>1</v>
      </c>
      <c r="C162" s="7">
        <v>37</v>
      </c>
      <c r="D162" s="7">
        <v>0.11</v>
      </c>
      <c r="E162">
        <f>D162*C162*B162</f>
        <v>4.07</v>
      </c>
    </row>
    <row r="163" spans="1:5">
      <c r="A163" t="s">
        <v>1813</v>
      </c>
      <c r="B163" s="7">
        <v>1</v>
      </c>
      <c r="C163" s="7">
        <v>278</v>
      </c>
      <c r="D163" s="7">
        <v>0.11</v>
      </c>
      <c r="E163">
        <f>D163*C163*B163</f>
        <v>30.580000000000002</v>
      </c>
    </row>
    <row r="164" spans="1:5">
      <c r="A164" t="s">
        <v>1816</v>
      </c>
      <c r="B164" s="7">
        <v>1</v>
      </c>
      <c r="C164" s="7">
        <v>68</v>
      </c>
      <c r="D164" s="7">
        <v>0.11</v>
      </c>
      <c r="E164">
        <f>D164*C164*B164</f>
        <v>7.48</v>
      </c>
    </row>
    <row r="165" spans="1:5">
      <c r="A165" t="s">
        <v>756</v>
      </c>
      <c r="B165" s="7">
        <v>1</v>
      </c>
      <c r="C165" s="7">
        <v>40</v>
      </c>
      <c r="D165" s="7">
        <v>0.11</v>
      </c>
      <c r="E165">
        <f>D165*C165*B165</f>
        <v>4.4000000000000004</v>
      </c>
    </row>
    <row r="166" spans="1:5">
      <c r="A166" t="s">
        <v>1644</v>
      </c>
      <c r="B166" s="7"/>
      <c r="C166" s="7"/>
      <c r="D166" s="7"/>
      <c r="E166">
        <f>500+70</f>
        <v>570</v>
      </c>
    </row>
    <row r="167" spans="1:5">
      <c r="A167" t="s">
        <v>1832</v>
      </c>
      <c r="B167" s="7"/>
      <c r="C167" s="7"/>
      <c r="D167" s="7"/>
      <c r="E167">
        <v>125</v>
      </c>
    </row>
    <row r="168" spans="1:5">
      <c r="A168" t="s">
        <v>1843</v>
      </c>
      <c r="B168" s="7">
        <v>1</v>
      </c>
      <c r="C168" s="7">
        <v>152</v>
      </c>
      <c r="D168" s="7">
        <v>0.11</v>
      </c>
      <c r="E168">
        <f t="shared" ref="E168:E178" si="24">D168*C168*B168</f>
        <v>16.72</v>
      </c>
    </row>
    <row r="169" spans="1:5">
      <c r="A169" t="s">
        <v>1845</v>
      </c>
      <c r="B169" s="7">
        <v>1</v>
      </c>
      <c r="C169" s="7">
        <v>128</v>
      </c>
      <c r="D169" s="7">
        <v>0.11</v>
      </c>
      <c r="E169">
        <f t="shared" si="24"/>
        <v>14.08</v>
      </c>
    </row>
    <row r="170" spans="1:5">
      <c r="A170" t="s">
        <v>1846</v>
      </c>
      <c r="B170" s="7">
        <v>1</v>
      </c>
      <c r="C170" s="7">
        <v>46</v>
      </c>
      <c r="D170" s="7">
        <v>0.11</v>
      </c>
      <c r="E170">
        <f t="shared" si="24"/>
        <v>5.0599999999999996</v>
      </c>
    </row>
    <row r="171" spans="1:5">
      <c r="A171" t="s">
        <v>1861</v>
      </c>
      <c r="B171" s="7">
        <v>40</v>
      </c>
      <c r="C171" s="7">
        <v>76</v>
      </c>
      <c r="D171" s="7">
        <v>0.11</v>
      </c>
      <c r="E171">
        <f t="shared" si="24"/>
        <v>334.4</v>
      </c>
    </row>
    <row r="172" spans="1:5">
      <c r="A172" t="s">
        <v>1858</v>
      </c>
      <c r="B172" s="7">
        <v>20</v>
      </c>
      <c r="C172" s="7">
        <v>76</v>
      </c>
      <c r="D172" s="7">
        <v>0.11</v>
      </c>
      <c r="E172">
        <f t="shared" si="24"/>
        <v>167.2</v>
      </c>
    </row>
    <row r="173" spans="1:5">
      <c r="A173" t="s">
        <v>1246</v>
      </c>
      <c r="B173" s="7">
        <v>55</v>
      </c>
      <c r="C173" s="7">
        <v>1</v>
      </c>
      <c r="D173" s="7">
        <v>1.5</v>
      </c>
      <c r="E173">
        <f t="shared" si="24"/>
        <v>82.5</v>
      </c>
    </row>
    <row r="174" spans="1:5">
      <c r="A174" t="s">
        <v>1890</v>
      </c>
      <c r="B174" s="7">
        <v>5</v>
      </c>
      <c r="C174" s="7">
        <v>1</v>
      </c>
      <c r="D174" s="7">
        <v>0.11</v>
      </c>
      <c r="E174">
        <f t="shared" si="24"/>
        <v>0.55000000000000004</v>
      </c>
    </row>
    <row r="175" spans="1:5">
      <c r="A175" t="s">
        <v>1897</v>
      </c>
      <c r="B175" s="7">
        <v>8</v>
      </c>
      <c r="C175" s="7">
        <v>1</v>
      </c>
      <c r="D175" s="7">
        <v>0.11</v>
      </c>
      <c r="E175">
        <f t="shared" si="24"/>
        <v>0.88</v>
      </c>
    </row>
    <row r="176" spans="1:5">
      <c r="A176" t="s">
        <v>1918</v>
      </c>
      <c r="B176" s="7">
        <v>68</v>
      </c>
      <c r="C176" s="7">
        <v>1</v>
      </c>
      <c r="D176" s="7">
        <v>0.11</v>
      </c>
      <c r="E176">
        <f t="shared" si="24"/>
        <v>7.48</v>
      </c>
    </row>
    <row r="177" spans="1:5">
      <c r="A177" t="s">
        <v>1927</v>
      </c>
      <c r="B177" s="7">
        <f>44+41</f>
        <v>85</v>
      </c>
      <c r="C177" s="7">
        <v>1</v>
      </c>
      <c r="D177" s="7">
        <v>0.11</v>
      </c>
      <c r="E177">
        <f t="shared" si="24"/>
        <v>9.35</v>
      </c>
    </row>
    <row r="178" spans="1:5">
      <c r="A178" t="s">
        <v>164</v>
      </c>
      <c r="B178" s="7">
        <f>20+17</f>
        <v>37</v>
      </c>
      <c r="C178" s="7">
        <v>1</v>
      </c>
      <c r="D178" s="7">
        <v>0.11</v>
      </c>
      <c r="E178">
        <f t="shared" si="24"/>
        <v>4.07</v>
      </c>
    </row>
    <row r="179" spans="1:5">
      <c r="A179" t="s">
        <v>1960</v>
      </c>
      <c r="B179" s="7">
        <v>19</v>
      </c>
      <c r="C179" s="7">
        <v>1</v>
      </c>
      <c r="D179" s="7">
        <v>0.11</v>
      </c>
      <c r="E179">
        <f>D179*C179*B179</f>
        <v>2.09</v>
      </c>
    </row>
    <row r="180" spans="1:5">
      <c r="A180" t="s">
        <v>1984</v>
      </c>
      <c r="B180" s="7">
        <v>5</v>
      </c>
      <c r="C180" s="7">
        <v>1</v>
      </c>
      <c r="D180" s="7">
        <v>0.11</v>
      </c>
      <c r="E180">
        <f>D180*C180*B180</f>
        <v>0.55000000000000004</v>
      </c>
    </row>
    <row r="181" spans="1:5">
      <c r="A181" t="s">
        <v>1983</v>
      </c>
      <c r="B181" s="7">
        <v>59</v>
      </c>
      <c r="C181" s="7">
        <v>1</v>
      </c>
      <c r="D181" s="7">
        <v>0.11</v>
      </c>
      <c r="E181">
        <f>D181*C181*B181</f>
        <v>6.49</v>
      </c>
    </row>
    <row r="182" spans="1:5">
      <c r="A182" t="s">
        <v>1998</v>
      </c>
      <c r="B182" s="7">
        <v>31</v>
      </c>
      <c r="C182" s="7">
        <v>1</v>
      </c>
      <c r="D182" s="7">
        <v>0.11</v>
      </c>
      <c r="E182">
        <f>D182*C182*B182</f>
        <v>3.41</v>
      </c>
    </row>
    <row r="183" spans="1:5">
      <c r="B183" s="7"/>
      <c r="C183" s="7"/>
      <c r="D183" s="7"/>
    </row>
    <row r="184" spans="1:5">
      <c r="B184" s="7"/>
      <c r="C184" s="7"/>
      <c r="D184" s="7"/>
    </row>
    <row r="185" spans="1:5">
      <c r="E185">
        <f>SUM(E3:E184)+L92-600-1100-350-500-800-1000-450-1000-150-800-250-110-100-50-250-200-100-200-100-120-50-174-175-20-15-7-50-750-500-100-50</f>
        <v>-7.2400000000088767</v>
      </c>
    </row>
    <row r="186" spans="1:5">
      <c r="D186" t="s">
        <v>38</v>
      </c>
      <c r="E186">
        <f>SUM(E2:E181)</f>
        <v>10006.859999999993</v>
      </c>
    </row>
    <row r="187" spans="1:5">
      <c r="E187" s="109">
        <f>SUM(E3:E126)-G3+L94</f>
        <v>2669.8199999999961</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Sheet1</vt:lpstr>
      <vt:lpstr>Ner Gavriel</vt:lpstr>
      <vt:lpstr>Ezras</vt:lpstr>
      <vt:lpstr>פרינט אוה</vt:lpstr>
      <vt:lpstr>printing</vt:lpstr>
      <vt:lpstr>Techayeinu</vt:lpstr>
      <vt:lpstr>בעל פה</vt:lpstr>
      <vt:lpstr>נדה</vt:lpstr>
      <vt:lpstr>print</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Hashem</dc:creator>
  <cp:lastModifiedBy>Stilerman</cp:lastModifiedBy>
  <cp:lastPrinted>2017-03-26T05:28:48Z</cp:lastPrinted>
  <dcterms:created xsi:type="dcterms:W3CDTF">2014-08-27T09:44:20Z</dcterms:created>
  <dcterms:modified xsi:type="dcterms:W3CDTF">2022-10-24T20:40:53Z</dcterms:modified>
</cp:coreProperties>
</file>